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VJun2OVK4vgR2lYySKJGoxu3eboQOqyW7MYV4ZIANb6t1VrsLKsNLp/3TvKU9sUlCBBS+aX8xM7eJD8xPJqA==" workbookSaltValue="RsURPyzFOqZfEk0ZaxQxZ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F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T14" i="20"/>
  <c r="BB26" i="13"/>
  <c r="AH14" i="16"/>
  <c r="AO14" i="21"/>
  <c r="AP14" i="16"/>
  <c r="F11" i="16"/>
  <c r="BL11" i="16" s="1"/>
  <c r="T23" i="17"/>
  <c r="T26" i="17" s="1"/>
  <c r="T30" i="17" s="1"/>
  <c r="U26" i="16"/>
  <c r="BE17" i="13"/>
  <c r="E32" i="20"/>
  <c r="M32" i="20"/>
  <c r="AI32" i="20"/>
  <c r="AM32" i="20"/>
  <c r="U10" i="11"/>
  <c r="I32" i="20"/>
  <c r="J32" i="20"/>
  <c r="Q32" i="20"/>
  <c r="AK32" i="20"/>
  <c r="AE32" i="20"/>
  <c r="U12" i="11"/>
  <c r="AU32" i="20"/>
  <c r="AZ32" i="20"/>
  <c r="G14" i="14"/>
  <c r="O18" i="11"/>
  <c r="R32" i="20"/>
  <c r="W32" i="20"/>
  <c r="AG32" i="20"/>
  <c r="T32" i="21"/>
  <c r="AF32" i="20"/>
  <c r="K32" i="20"/>
  <c r="O17" i="11"/>
  <c r="AJ32" i="20"/>
  <c r="G30" i="14"/>
  <c r="G23" i="14"/>
  <c r="U18" i="11"/>
  <c r="AX32" i="20"/>
  <c r="Y32" i="20"/>
  <c r="L32" i="20"/>
  <c r="H32" i="20"/>
  <c r="F32" i="20"/>
  <c r="G26" i="14"/>
  <c r="S32" i="20"/>
  <c r="AQ32" i="21"/>
  <c r="F28" i="2" l="1"/>
  <c r="BF16" i="8"/>
  <c r="F14" i="7"/>
  <c r="M23" i="2"/>
  <c r="AL21" i="11"/>
  <c r="L17" i="14"/>
  <c r="F16" i="11"/>
  <c r="AQ16" i="11" s="1"/>
  <c r="I13" i="14"/>
  <c r="BF16" i="13"/>
  <c r="BG17" i="13"/>
  <c r="R8" i="9"/>
  <c r="AP17" i="20" s="1"/>
  <c r="BL19" i="11"/>
  <c r="BJ18" i="11"/>
  <c r="BM17" i="11"/>
  <c r="BF21" i="11"/>
  <c r="BF17" i="11"/>
  <c r="BL12" i="11"/>
  <c r="BK11" i="11"/>
  <c r="AP10" i="21"/>
  <c r="BH20" i="16"/>
  <c r="BH22" i="16"/>
  <c r="BJ20" i="11"/>
  <c r="S17" i="14"/>
  <c r="V17" i="14" s="1"/>
  <c r="R17" i="14"/>
  <c r="T21" i="11"/>
  <c r="S9" i="14"/>
  <c r="V9" i="14" s="1"/>
  <c r="X25" i="17"/>
  <c r="X22" i="17"/>
  <c r="X16" i="17"/>
  <c r="X18" i="20"/>
  <c r="V16" i="16"/>
  <c r="X25" i="16"/>
  <c r="X30" i="16" s="1"/>
  <c r="S21" i="14"/>
  <c r="V21" i="14" s="1"/>
  <c r="R18" i="14"/>
  <c r="T19" i="11"/>
  <c r="S11" i="14"/>
  <c r="V11" i="14" s="1"/>
  <c r="X17" i="17"/>
  <c r="X18" i="17"/>
  <c r="X17" i="20"/>
  <c r="AZ22" i="11"/>
  <c r="L19" i="2"/>
  <c r="X9" i="16"/>
  <c r="X31" i="16" s="1"/>
  <c r="R13" i="17"/>
  <c r="P13" i="14"/>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I9" i="12" l="1"/>
  <c r="X14" i="20"/>
  <c r="S13" i="17"/>
  <c r="L25" i="2"/>
  <c r="L11" i="2"/>
  <c r="AZ12" i="11"/>
  <c r="X22" i="20"/>
  <c r="AA16" i="16"/>
  <c r="AA25" i="16"/>
  <c r="T28" i="11"/>
  <c r="R28" i="14"/>
  <c r="S28" i="14"/>
  <c r="V28" i="14" s="1"/>
  <c r="S10" i="14"/>
  <c r="V10" i="14" s="1"/>
  <c r="T19" i="20"/>
  <c r="X20" i="20"/>
  <c r="X11" i="17"/>
  <c r="X10" i="17"/>
  <c r="AA29" i="16"/>
  <c r="T20" i="11"/>
  <c r="T29" i="11"/>
  <c r="R29" i="14"/>
  <c r="R10" i="14"/>
  <c r="S12" i="14"/>
  <c r="V12" i="14" s="1"/>
  <c r="R10" i="21"/>
  <c r="BJ11" i="11"/>
  <c r="AP21" i="20"/>
  <c r="AZ18" i="11"/>
  <c r="V12" i="21"/>
  <c r="BF10" i="11"/>
  <c r="V25" i="11"/>
  <c r="V11" i="16"/>
  <c r="BG10" i="11"/>
  <c r="BJ22" i="11"/>
  <c r="K17" i="12"/>
  <c r="I16"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26"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AZ19" i="11"/>
  <c r="BK29" i="11"/>
  <c r="BG22" i="11"/>
  <c r="BG20" i="11"/>
  <c r="BF18" i="1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L31" i="21"/>
  <c r="AQ17" i="11"/>
  <c r="BF23" i="11"/>
  <c r="BJ23" i="11"/>
  <c r="Q9" i="11"/>
  <c r="Q13" i="11"/>
  <c r="P21" i="11"/>
  <c r="P29" i="11"/>
  <c r="BK14" i="11"/>
  <c r="P18" i="11"/>
  <c r="Q16" i="11"/>
  <c r="S23" i="16"/>
  <c r="BU33" i="17"/>
  <c r="R14" i="21"/>
  <c r="R31" i="21" s="1"/>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<sst xmlns="http://schemas.openxmlformats.org/spreadsheetml/2006/main" count="2668" uniqueCount="1192">
  <si>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</si>
  <si>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</si>
  <si>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</si>
  <si>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</si>
  <si>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</si>
  <si>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</si>
  <si>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</si>
  <si>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</si>
  <si>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</si>
  <si>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</si>
  <si>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</si>
  <si>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</si>
  <si>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</si>
  <si>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</si>
  <si>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</si>
  <si>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</si>
  <si>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</si>
  <si>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</si>
  <si>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</si>
  <si>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</si>
  <si>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</si>
  <si>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</si>
  <si>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</si>
  <si>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</si>
  <si>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</si>
  <si>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</si>
  <si>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</si>
  <si>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</si>
  <si>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</si>
  <si>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</si>
  <si>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</si>
  <si>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</si>
  <si>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</si>
  <si>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</si>
  <si>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</si>
  <si>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</si>
  <si>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</si>
  <si>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</si>
  <si>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</si>
  <si>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</si>
  <si>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</si>
  <si>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</si>
  <si>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</si>
  <si>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</si>
  <si>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</si>
  <si>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</si>
  <si>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</si>
  <si>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</si>
  <si>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</si>
  <si>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</si>
  <si>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</si>
  <si>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</si>
  <si>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</si>
  <si>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</si>
  <si>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</si>
  <si>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</si>
  <si>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</si>
  <si>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</si>
  <si>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</si>
  <si>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</si>
  <si>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</si>
  <si>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</si>
  <si>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</si>
  <si>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</si>
  <si>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</si>
  <si>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</si>
  <si>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</si>
  <si>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</si>
  <si>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</si>
  <si>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</si>
  <si>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</si>
  <si>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</si>
  <si>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</si>
  <si>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</si>
  <si>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</si>
  <si>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</si>
  <si>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</si>
  <si>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</si>
  <si>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</si>
  <si>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</si>
  <si>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</si>
  <si>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</si>
  <si>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</si>
  <si>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</si>
  <si>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</si>
  <si>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</si>
  <si>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</si>
  <si>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</si>
  <si>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</si>
  <si>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</si>
  <si>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</si>
  <si>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</si>
  <si>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</si>
  <si>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</si>
  <si>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</si>
  <si>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</si>
  <si>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</si>
  <si>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</si>
  <si>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</si>
  <si>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</si>
  <si>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</si>
  <si>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</si>
  <si>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</si>
  <si>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</si>
  <si>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</si>
  <si>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</si>
  <si>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</si>
  <si>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</si>
  <si>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</si>
  <si>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</si>
  <si>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</si>
  <si>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</si>
  <si>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</si>
  <si>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</si>
  <si>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</si>
  <si>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</si>
  <si>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</si>
  <si>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</si>
  <si>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</si>
  <si>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</si>
  <si>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</si>
  <si>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</si>
  <si>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</si>
  <si>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</si>
  <si>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</si>
  <si>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</si>
  <si>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</si>
  <si>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</si>
  <si>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</si>
  <si>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</si>
  <si>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</si>
  <si>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</si>
  <si>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</si>
  <si>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</si>
  <si>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</si>
  <si>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</si>
  <si>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</si>
  <si>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</si>
  <si>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</si>
  <si>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</si>
  <si>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</si>
  <si>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</si>
  <si>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</si>
  <si>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</si>
  <si>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</si>
  <si>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</si>
  <si>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</si>
  <si>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</si>
  <si>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</si>
  <si>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</si>
  <si>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</si>
  <si>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</si>
  <si>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</si>
  <si>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</si>
  <si>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</si>
  <si>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</si>
  <si>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</si>
  <si>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</si>
  <si>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</si>
  <si>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</si>
  <si>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</si>
  <si>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</si>
  <si>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</si>
  <si>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</si>
  <si>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</si>
  <si>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</si>
  <si>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</si>
  <si>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</si>
  <si>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</si>
  <si>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</si>
  <si>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</si>
  <si>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</si>
  <si>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</si>
  <si>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</si>
  <si>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</si>
  <si>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</si>
  <si>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</si>
  <si>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</si>
  <si>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</si>
  <si>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</si>
  <si>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</si>
  <si>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</si>
  <si>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</si>
  <si>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</si>
  <si>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</si>
  <si>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</si>
  <si>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</si>
  <si>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</si>
  <si>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</si>
  <si>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</si>
  <si>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</si>
  <si>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</si>
  <si>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</si>
  <si>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</si>
  <si>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</si>
  <si>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</si>
  <si>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</si>
  <si>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</si>
  <si>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</si>
  <si>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</si>
  <si>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</si>
  <si>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</si>
  <si>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</si>
  <si>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</si>
  <si>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</si>
  <si>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</si>
  <si>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</si>
  <si>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</si>
  <si>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</si>
  <si>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</si>
  <si>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</si>
  <si>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</si>
  <si>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</si>
  <si>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</si>
  <si>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</si>
  <si>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</si>
  <si>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</si>
  <si>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</si>
  <si>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</si>
  <si>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</si>
  <si>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</si>
  <si>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</si>
  <si>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</si>
  <si>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</si>
  <si>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</si>
  <si>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</si>
  <si>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</si>
  <si>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</si>
  <si>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</si>
  <si>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</si>
  <si>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</si>
  <si>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</si>
  <si>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</si>
  <si>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</si>
  <si>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</si>
  <si>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</si>
  <si>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</si>
  <si>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</si>
  <si>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</si>
  <si>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</si>
  <si>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</si>
  <si>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</si>
  <si>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</si>
  <si>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</si>
  <si>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</si>
  <si>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</si>
  <si>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</si>
  <si>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</si>
  <si>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</si>
  <si>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</si>
  <si>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</si>
  <si>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</si>
  <si>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</si>
  <si>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</si>
  <si>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</si>
  <si>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</si>
  <si>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</si>
  <si>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</si>
  <si>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</si>
  <si>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</si>
  <si>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</si>
  <si>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</si>
  <si>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</si>
  <si>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</si>
  <si>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</si>
  <si>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</si>
  <si>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</si>
  <si>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</si>
  <si>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</si>
  <si>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</si>
  <si>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</si>
  <si>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</si>
  <si>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</si>
  <si>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</si>
  <si>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</si>
  <si>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</si>
  <si>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</si>
  <si>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</si>
  <si>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</si>
  <si>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</si>
  <si>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</si>
  <si>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</si>
  <si>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</si>
  <si>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</si>
  <si>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</si>
  <si>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</si>
  <si>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</si>
  <si>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</si>
  <si>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</si>
  <si>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</si>
  <si>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</si>
  <si>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</si>
  <si>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</si>
  <si>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</si>
  <si>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</si>
  <si>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</si>
  <si>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</si>
  <si>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</si>
  <si>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</si>
  <si>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</si>
  <si>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</si>
  <si>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</si>
  <si>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</si>
  <si>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</si>
  <si>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</si>
  <si>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</si>
  <si>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</si>
  <si>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</si>
  <si>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</si>
  <si>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</si>
  <si>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</si>
  <si>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</si>
  <si>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</si>
  <si>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</si>
  <si>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</si>
  <si>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</si>
  <si>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</si>
  <si>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</si>
  <si>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</si>
  <si>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</si>
  <si>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</si>
  <si>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</si>
  <si>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</si>
  <si>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</si>
  <si>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</si>
  <si>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</si>
  <si>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</si>
  <si>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</si>
  <si>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</si>
  <si>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</si>
  <si>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</si>
  <si>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</si>
  <si>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</si>
  <si>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</si>
  <si>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</si>
  <si>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</si>
  <si>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</si>
  <si>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</si>
  <si>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</si>
  <si>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</si>
  <si>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</si>
  <si>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</si>
  <si>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</si>
  <si>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</si>
  <si>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</si>
  <si>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</si>
  <si>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</si>
  <si>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</si>
  <si>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</si>
  <si>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</si>
  <si>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</si>
  <si>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</si>
  <si>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</si>
  <si>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</si>
  <si>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</si>
  <si>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</si>
  <si>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</si>
  <si>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</si>
  <si>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</si>
  <si>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</si>
  <si>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</si>
  <si>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</si>
  <si>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</si>
  <si>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</si>
  <si>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</si>
  <si>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</si>
  <si>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</si>
  <si>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</si>
  <si>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</si>
  <si>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</si>
  <si>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</si>
  <si>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</si>
  <si>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</si>
  <si>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</si>
  <si>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</si>
  <si>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</si>
  <si>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</si>
  <si>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</si>
  <si>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</si>
  <si>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</si>
  <si>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</si>
  <si>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</si>
  <si>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</si>
  <si>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</si>
  <si>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</si>
  <si>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</si>
  <si>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</si>
  <si>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</si>
  <si>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</si>
  <si>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</si>
  <si>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</si>
  <si>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</si>
  <si>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</si>
  <si>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</si>
  <si>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</si>
  <si>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</si>
  <si>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</si>
  <si>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</si>
  <si>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</si>
  <si>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</si>
  <si>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</si>
  <si>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</si>
  <si>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</si>
  <si>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</si>
  <si>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</si>
  <si>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</si>
  <si>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</si>
  <si>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</si>
  <si>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</si>
  <si>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</si>
  <si>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</si>
  <si>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</si>
  <si>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</si>
  <si>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</si>
  <si>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</si>
  <si>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</si>
  <si>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</si>
  <si>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</si>
  <si>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</si>
  <si>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</si>
  <si>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</si>
  <si>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</si>
  <si>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</si>
  <si>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</si>
  <si>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</si>
  <si>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</si>
  <si>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</si>
  <si>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</si>
  <si>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</si>
  <si>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</si>
  <si>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</si>
  <si>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</si>
  <si>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</si>
  <si>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</si>
  <si>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</si>
  <si>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</si>
  <si>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</si>
  <si>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</si>
  <si>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</si>
  <si>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</si>
  <si>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</si>
  <si>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</si>
  <si>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</si>
  <si>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</si>
  <si>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</si>
  <si>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</si>
  <si>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</si>
  <si>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</si>
  <si>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</si>
  <si>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</si>
  <si>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</si>
  <si>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</si>
  <si>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</si>
  <si>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</si>
  <si>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</si>
  <si>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</si>
  <si>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</si>
  <si>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</si>
  <si>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</si>
  <si>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</si>
  <si>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</si>
  <si>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</si>
  <si>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</si>
  <si>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</si>
  <si>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</si>
  <si>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</si>
  <si>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</si>
  <si>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</si>
  <si>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</si>
  <si>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</si>
  <si>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</si>
  <si>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</si>
  <si>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</si>
  <si>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</si>
  <si>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</si>
  <si>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</si>
  <si>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</si>
  <si>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</si>
  <si>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</si>
  <si>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</si>
  <si>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</si>
  <si>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</si>
  <si>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</si>
  <si>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</si>
  <si>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</si>
  <si>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</si>
  <si>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</si>
  <si>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</si>
  <si>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</si>
  <si>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</si>
  <si>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</si>
  <si>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</si>
  <si>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</si>
  <si>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</si>
  <si>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</si>
  <si>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</si>
  <si>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</si>
  <si>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</si>
  <si>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</si>
  <si>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</si>
  <si>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</si>
  <si>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</si>
  <si>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</si>
  <si>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</si>
  <si>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</si>
  <si>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</si>
  <si>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</si>
  <si>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</si>
  <si>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</si>
  <si>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</si>
  <si>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</si>
  <si>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</si>
  <si>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</si>
  <si>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</si>
  <si>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</si>
  <si>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</si>
  <si>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</si>
  <si>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</si>
  <si>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</si>
  <si>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</si>
  <si>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</si>
  <si>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</si>
  <si>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</si>
  <si>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</si>
  <si>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</si>
  <si>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</si>
  <si>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</si>
  <si>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</si>
  <si>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</si>
  <si>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</si>
  <si>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</si>
  <si>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</si>
  <si>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</si>
  <si>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</si>
  <si>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</si>
  <si>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</si>
  <si>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</si>
  <si>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</si>
  <si>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</si>
  <si>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</si>
  <si>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</si>
  <si>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</si>
  <si>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</si>
  <si>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</si>
  <si>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</si>
  <si>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</si>
  <si>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</si>
  <si>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</si>
  <si>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</si>
  <si>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</si>
  <si>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</si>
  <si>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</si>
  <si>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</si>
  <si>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</si>
  <si>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</si>
  <si>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</si>
  <si>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</si>
  <si>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</si>
  <si>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</si>
  <si>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</si>
  <si>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</si>
  <si>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</si>
  <si>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</si>
  <si>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</si>
  <si>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</si>
  <si>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</si>
  <si>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</si>
  <si>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</si>
  <si>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</si>
  <si>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</si>
  <si>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</si>
  <si>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</si>
  <si>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</si>
  <si>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</si>
  <si>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</si>
  <si>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</si>
  <si>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</si>
  <si>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</si>
  <si>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</si>
  <si>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</si>
  <si>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</si>
  <si>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</si>
  <si>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</si>
  <si>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</si>
  <si>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</si>
  <si>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</si>
  <si>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</si>
  <si>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</si>
  <si>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</si>
  <si>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</si>
  <si>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</si>
  <si>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</si>
  <si>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</si>
  <si>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</si>
  <si>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</si>
  <si>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</si>
  <si>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</si>
  <si>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</si>
  <si>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</si>
  <si>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</si>
  <si>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</si>
  <si>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</si>
  <si>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</si>
  <si>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</si>
  <si>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</si>
  <si>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</si>
  <si>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</si>
  <si>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</si>
  <si>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</si>
  <si>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</si>
  <si>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</si>
  <si>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</si>
  <si>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</si>
  <si>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</si>
  <si>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</si>
  <si>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</si>
  <si>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</si>
  <si>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</si>
  <si>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</si>
  <si>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</si>
  <si>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</si>
  <si>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</si>
  <si>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</si>
  <si>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</si>
  <si>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</si>
  <si>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</si>
  <si>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</si>
  <si>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</si>
  <si>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</si>
  <si>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</si>
  <si>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</si>
  <si>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</si>
  <si>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</si>
  <si>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</si>
  <si>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</si>
  <si>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</si>
  <si>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</si>
  <si>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</si>
  <si>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</si>
  <si>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</si>
  <si>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</si>
  <si>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</si>
  <si>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</si>
  <si>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</si>
  <si>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</si>
  <si>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</si>
  <si>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</si>
  <si>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</si>
  <si>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</si>
  <si>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</si>
  <si>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</si>
  <si>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</si>
  <si>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</si>
  <si>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</si>
  <si>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</si>
  <si>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</si>
  <si>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</si>
  <si>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</si>
  <si>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</si>
  <si>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</si>
  <si>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</si>
  <si>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</si>
  <si>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</si>
  <si>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</si>
  <si>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</si>
  <si>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</si>
  <si>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</si>
  <si>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</si>
  <si>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</si>
  <si>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</si>
  <si>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</si>
  <si>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</si>
  <si>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</si>
  <si>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</si>
  <si>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</si>
  <si>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</si>
  <si>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</si>
  <si>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</si>
  <si>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</si>
  <si>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</si>
  <si>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</si>
  <si>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</si>
  <si>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</si>
  <si>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</si>
  <si>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</si>
  <si>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</si>
  <si>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</si>
  <si>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</si>
  <si>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</si>
  <si>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</si>
  <si>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</si>
  <si>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</si>
  <si>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</si>
  <si>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</si>
  <si>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</si>
  <si>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</si>
  <si>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</si>
  <si>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</si>
  <si>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</si>
  <si>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</si>
  <si>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</si>
  <si>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</si>
  <si>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</si>
  <si>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</si>
  <si>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</si>
  <si>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</si>
  <si>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</si>
  <si>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</si>
  <si>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</si>
  <si>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</si>
  <si>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</si>
  <si>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</si>
  <si>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</si>
  <si>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</si>
  <si>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</si>
  <si>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</si>
  <si>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</si>
  <si>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</si>
  <si>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</si>
  <si>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</si>
  <si>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</si>
  <si>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</si>
  <si>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</si>
  <si>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</si>
  <si>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</si>
  <si>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</si>
  <si>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</si>
  <si>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</si>
  <si>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</si>
  <si>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</si>
  <si>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</si>
  <si>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</si>
  <si>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</si>
  <si>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</si>
  <si>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</si>
  <si>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</si>
  <si>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</si>
  <si>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</si>
  <si>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</si>
  <si>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</si>
  <si>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</si>
  <si>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</si>
  <si>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</si>
  <si>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</si>
  <si>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</si>
  <si>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</si>
  <si>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</si>
  <si>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</si>
  <si>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</si>
  <si>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</si>
  <si>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</si>
  <si>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</si>
  <si>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</si>
  <si>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</si>
  <si>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</si>
  <si>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</si>
  <si>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</si>
  <si>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</si>
  <si>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</si>
  <si>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</si>
  <si>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</si>
  <si>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</si>
  <si>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</si>
  <si>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</si>
  <si>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</si>
  <si>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</si>
  <si>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</si>
  <si>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</si>
  <si>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</si>
  <si>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</si>
  <si>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</si>
  <si>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</si>
  <si>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</si>
  <si>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</si>
  <si>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</si>
  <si>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</si>
  <si>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</si>
  <si>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</si>
  <si>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</si>
  <si>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</si>
  <si>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</si>
  <si>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</si>
  <si>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</si>
  <si>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</si>
  <si>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</si>
  <si>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</si>
  <si>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</si>
  <si>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</si>
  <si>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</si>
  <si>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</si>
  <si>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</si>
  <si>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</si>
  <si>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</si>
  <si>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</si>
  <si>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</si>
  <si>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</si>
  <si>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</si>
  <si>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</si>
  <si>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</si>
  <si>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</si>
  <si>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</si>
  <si>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</si>
  <si>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</si>
  <si>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</si>
  <si>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</si>
  <si>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</si>
  <si>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</si>
  <si>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</si>
  <si>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</si>
  <si>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</si>
  <si>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</si>
  <si>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</si>
  <si>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</si>
  <si>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</si>
  <si>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</si>
  <si>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</si>
  <si>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</si>
  <si>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</si>
  <si>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</si>
  <si>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</si>
  <si>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</si>
  <si>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</si>
  <si>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</si>
  <si>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</si>
  <si>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</si>
  <si>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</si>
  <si>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</si>
  <si>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</si>
  <si>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</si>
  <si>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</si>
  <si>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</si>
  <si>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</si>
  <si>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</si>
  <si>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</si>
  <si>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</si>
  <si>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</si>
  <si>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</si>
  <si>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</si>
  <si>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</si>
  <si>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</si>
  <si>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</si>
  <si>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</si>
  <si>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</si>
  <si>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</si>
  <si>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</si>
  <si>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</si>
  <si>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</si>
  <si>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</si>
  <si>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</si>
  <si>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</si>
  <si>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</si>
  <si>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</si>
  <si>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</si>
  <si>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</si>
  <si>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</si>
  <si>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</si>
  <si>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</si>
  <si>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</si>
  <si>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</si>
  <si>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</si>
  <si>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</si>
  <si>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</si>
  <si>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</si>
  <si>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</si>
  <si>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</si>
  <si>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</si>
  <si>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</si>
  <si>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</si>
  <si>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</si>
  <si>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</si>
  <si>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</si>
  <si>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</si>
  <si>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</si>
  <si>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</si>
  <si>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</si>
  <si>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</si>
  <si>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</si>
  <si>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</si>
  <si>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</si>
  <si>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</si>
  <si>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</si>
  <si>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</si>
  <si>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</si>
  <si>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</si>
  <si>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</si>
  <si>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</si>
  <si>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</si>
  <si>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</si>
  <si>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</si>
  <si>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</si>
  <si>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</si>
  <si>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</si>
  <si>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</si>
  <si>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</si>
  <si>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</si>
  <si>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</si>
  <si>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</si>
  <si>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</si>
  <si>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</si>
  <si>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</si>
  <si>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</si>
  <si>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</si>
  <si>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</si>
  <si>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</si>
  <si>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</si>
  <si>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</si>
  <si>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</si>
  <si>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</si>
  <si>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</si>
  <si>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</si>
  <si>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</si>
  <si>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</si>
  <si>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</si>
  <si>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</si>
  <si>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</si>
  <si>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</si>
  <si>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</si>
  <si>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</si>
  <si>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</si>
  <si>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</si>
  <si>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</si>
  <si>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</si>
  <si>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</si>
  <si>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</si>
  <si>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</si>
  <si>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</si>
  <si>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</si>
  <si>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</si>
  <si>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</si>
  <si>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</si>
  <si>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</si>
  <si>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</si>
  <si>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</si>
  <si>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</si>
  <si>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</si>
  <si>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</si>
  <si>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</si>
  <si>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</si>
  <si>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</si>
  <si>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</si>
  <si>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</si>
  <si>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</si>
  <si>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</si>
  <si>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</si>
  <si>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</si>
  <si>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</si>
  <si>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</si>
  <si>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</si>
  <si>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</si>
  <si>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</si>
  <si>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</si>
  <si>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</si>
  <si>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</si>
  <si>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</si>
  <si>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</si>
  <si>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</si>
  <si>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</si>
  <si>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</si>
  <si>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</si>
  <si>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</si>
  <si>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</si>
  <si>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</si>
  <si>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</si>
  <si>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</si>
  <si>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</si>
  <si>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</si>
  <si>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</si>
  <si>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</si>
  <si>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</si>
  <si>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</si>
  <si>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</si>
  <si>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</si>
  <si>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</si>
  <si>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</si>
  <si>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</si>
  <si>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</si>
  <si>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</si>
  <si>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</si>
  <si>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</si>
  <si>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</si>
  <si>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</si>
  <si>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</si>
  <si>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</si>
  <si>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</si>
  <si>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</si>
  <si>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</si>
  <si>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</si>
  <si>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</si>
  <si>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</si>
  <si>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</si>
  <si>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</si>
  <si>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</si>
  <si>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</si>
  <si>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</si>
  <si>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</si>
  <si>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</si>
  <si>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</si>
  <si>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</si>
  <si>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</si>
  <si>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</si>
  <si>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</si>
  <si>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</si>
  <si>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</si>
  <si>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</si>
  <si>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</si>
  <si>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</si>
  <si>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</si>
  <si>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</si>
  <si>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</si>
  <si>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</si>
  <si>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</si>
  <si>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</si>
  <si>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</si>
  <si>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</si>
  <si>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</si>
  <si>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</si>
  <si>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</si>
  <si>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</si>
  <si>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</si>
  <si>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</si>
  <si>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</si>
  <si>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</si>
  <si>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</si>
  <si>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</si>
  <si>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</si>
  <si>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</si>
  <si>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</si>
  <si>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</si>
  <si>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</si>
  <si>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</si>
  <si>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</si>
  <si>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</si>
  <si>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</si>
  <si>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</si>
  <si>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</si>
  <si>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</si>
  <si>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</si>
  <si>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</si>
  <si>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</si>
  <si>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</si>
  <si>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</si>
  <si>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</si>
  <si>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</si>
  <si>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</si>
  <si>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</si>
  <si>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</si>
  <si>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</si>
  <si>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</si>
  <si>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</si>
  <si>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</si>
  <si>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</si>
  <si>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</si>
  <si>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</si>
  <si>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</si>
  <si>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</si>
  <si>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</si>
  <si>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</si>
  <si>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</si>
  <si>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</si>
  <si>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</si>
  <si>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</si>
  <si>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</si>
  <si>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</si>
  <si>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</si>
  <si>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</si>
  <si>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</si>
  <si>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</si>
  <si>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</si>
  <si>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</si>
  <si>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</si>
  <si>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</si>
  <si>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</si>
  <si>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</si>
  <si>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</si>
  <si>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</si>
  <si>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</si>
  <si>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</si>
  <si>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</si>
  <si>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</si>
  <si>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</si>
  <si>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</si>
  <si>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</si>
  <si>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</si>
  <si>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</si>
  <si>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</si>
  <si>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</si>
  <si>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</si>
  <si>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</si>
  <si>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</si>
  <si>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</si>
  <si>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</si>
  <si>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</si>
  <si>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</si>
  <si>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</si>
  <si>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</si>
  <si>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</si>
  <si>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</si>
  <si>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</si>
  <si>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</si>
  <si>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</si>
  <si>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</si>
  <si>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</si>
  <si>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</si>
  <si>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</si>
  <si>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</si>
  <si>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</si>
  <si>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</si>
  <si>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</si>
  <si>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</si>
  <si>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</si>
  <si>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</si>
  <si>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</si>
  <si>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</si>
  <si>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</si>
  <si>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</si>
  <si>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</si>
  <si>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</si>
  <si>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</si>
  <si>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</si>
  <si>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</si>
  <si>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</si>
  <si>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</si>
  <si>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</si>
  <si>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</si>
  <si>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</si>
  <si>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</si>
  <si>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</si>
  <si>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</si>
  <si>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</si>
  <si>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</si>
  <si>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</si>
  <si>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</si>
  <si>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</si>
  <si>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</si>
  <si>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</si>
  <si>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</si>
  <si>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</si>
  <si>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</si>
  <si>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</si>
  <si>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</si>
  <si>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</si>
  <si>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</si>
  <si>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</si>
  <si>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</si>
  <si>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</si>
  <si>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</si>
  <si>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</si>
  <si>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</si>
  <si>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</si>
  <si>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</si>
  <si>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</si>
  <si>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</si>
  <si>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</si>
  <si>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</si>
  <si>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</si>
  <si>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</si>
  <si>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</si>
  <si>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</si>
  <si>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</si>
  <si>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</si>
  <si>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</si>
  <si>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</si>
  <si>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</si>
  <si>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</si>
  <si>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</si>
  <si>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</si>
  <si>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</si>
  <si>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</si>
  <si>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</si>
  <si>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</si>
  <si>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</si>
  <si>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</si>
  <si>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</si>
  <si>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</si>
  <si>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</si>
  <si>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</si>
  <si>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</si>
  <si>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</si>
  <si>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</si>
  <si>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</si>
  <si>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</si>
  <si>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</si>
  <si>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</si>
  <si>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</si>
  <si>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</si>
  <si>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</si>
  <si>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</si>
  <si>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</si>
  <si>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MADRID</t>
  </si>
  <si>
    <t>Provincias</t>
  </si>
  <si>
    <t>Resumenes por Partidos Judiciales</t>
  </si>
  <si>
    <t>FUENLABRADA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</si>
</sst>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b8muI+Stn/j9dIUnWI8FJMjOXj76Fzv5XRBF0+bgNTKDSPtEmtGLEUBCJitoFB4TJPWzp3GxbvAfEnJ0VtOoA==" saltValue="M4EI51Ewr44+KcUbzEy3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MADRID</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11.4695882130714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24</v>
      </c>
      <c r="F10" s="240">
        <f>IF(ISNUMBER(Datos!K10),Datos!K10," - ")</f>
        <v>24</v>
      </c>
      <c r="G10" s="1390" t="str">
        <f>IF(Datos!E10&lt;&gt;"",Datos!E10,Datos!D10)</f>
        <v>37</v>
      </c>
      <c r="H10" s="241">
        <f>IF(ISNUMBER(Datos!L10),Datos!L10," - ")</f>
        <v>36</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16.5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12.995780590717299</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24</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6</v>
      </c>
      <c r="B16" s="1461" t="str">
        <f>Datos!A16</f>
        <v xml:space="preserve">Jdos. Instrucción                               </v>
      </c>
      <c r="C16" s="239">
        <f t="shared" ref="C16:C22" si="2">IF(ISNUMBER(H16-E16+F16),H16-E16+F16," - ")</f>
        <v>1457</v>
      </c>
      <c r="D16" s="239">
        <f>IF(ISNUMBER(IF(D_I="SI",Datos!I16,Datos!I16+Datos!AC16)),IF(D_I="SI",Datos!I16,Datos!I16+Datos!AC16)," - ")</f>
        <v>1386</v>
      </c>
      <c r="E16" s="240">
        <f>IF(ISNUMBER(IF(D_I="SI",Datos!J16,Datos!J16+Datos!AD16)),IF(D_I="SI",Datos!J16,Datos!J16+Datos!AD16)," - ")</f>
        <v>2159</v>
      </c>
      <c r="F16" s="240">
        <f>IF(ISNUMBER(IF(D_I="SI",Datos!K16,Datos!K16+Datos!AE16)),IF(D_I="SI",Datos!K16,Datos!K16+Datos!AE16)," - ")</f>
        <v>2340</v>
      </c>
      <c r="G16" s="1390" t="str">
        <f>IF(Datos!E16&lt;&gt;"",Datos!E16,Datos!D16)</f>
        <v>03</v>
      </c>
      <c r="H16" s="241">
        <f>IF(ISNUMBER(IF(D_I="SI",Datos!L16,Datos!L16+Datos!AF16)),IF(D_I="SI",Datos!L16,Datos!L16+Datos!AF16)," - ")</f>
        <v>1276</v>
      </c>
      <c r="I16" s="1400" t="str">
        <f>IF(ISNUMBER(Datos!AS16/Datos!BM16),Datos!AS16/Datos!BM16," - ")</f>
        <v xml:space="preserve"> - </v>
      </c>
      <c r="J16" s="1401">
        <f>IF(ISNUMBER(Datos!BY16/Datos!CN16),Datos!BY16/Datos!CN16," - ")</f>
        <v>0</v>
      </c>
      <c r="K16" s="244">
        <f t="shared" ref="K16:K22" si="3">IF(ISNUMBER((E16-F16)/C16),(E16-F16)/C16," - ")</f>
        <v>-0.12422786547700755</v>
      </c>
      <c r="L16" s="1402">
        <f>IF(ISNUMBER(NºAsuntos!I16/NºAsuntos!G16),(NºAsuntos!I16/NºAsuntos!G16)*11," - ")</f>
        <v>5.9982905982905974</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49</v>
      </c>
      <c r="D18" s="239">
        <f>IF(ISNUMBER(IF(D_I="SI",Datos!I18,Datos!I18+Datos!AC18)),IF(D_I="SI",Datos!I18,Datos!I18+Datos!AC18)," - ")</f>
        <v>40</v>
      </c>
      <c r="E18" s="240">
        <f>IF(ISNUMBER(IF(D_I="SI",Datos!J18,Datos!J18+Datos!AD18)),IF(D_I="SI",Datos!J18,Datos!J18+Datos!AD18)," - ")</f>
        <v>187</v>
      </c>
      <c r="F18" s="240">
        <f>IF(ISNUMBER(IF(D_I="SI",Datos!K18,Datos!K18+Datos!AE18)),IF(D_I="SI",Datos!K18,Datos!K18+Datos!AE18)," - ")</f>
        <v>178</v>
      </c>
      <c r="G18" s="1390" t="str">
        <f>IF(Datos!E18&lt;&gt;"",Datos!E18,Datos!D18)</f>
        <v>37</v>
      </c>
      <c r="H18" s="241">
        <f>IF(ISNUMBER(IF(D_I="SI",Datos!L18,Datos!L18+Datos!AF18)),IF(D_I="SI",Datos!L18,Datos!L18+Datos!AF18)," - ")</f>
        <v>58</v>
      </c>
      <c r="I18" s="1400" t="str">
        <f>IF(ISNUMBER(Datos!AS18/Datos!BM18),Datos!AS18/Datos!BM18," - ")</f>
        <v xml:space="preserve"> - </v>
      </c>
      <c r="J18" s="1401" t="str">
        <f>IF(ISNUMBER((Datos!BY18+Datos!BZ18)/Datos!CN18),(Datos!BY18+Datos!BZ18)/Datos!CN18," - ")</f>
        <v xml:space="preserve"> - </v>
      </c>
      <c r="K18" s="244">
        <f t="shared" si="3"/>
        <v>0.18367346938775511</v>
      </c>
      <c r="L18" s="1402">
        <f>IF(ISNUMBER(NºAsuntos!I18/NºAsuntos!G18),(NºAsuntos!I18/NºAsuntos!G18)*11," - ")</f>
        <v>3.5842696629213484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1506</v>
      </c>
      <c r="D23" s="1407">
        <f>SUBTOTAL(9,D16:D22)</f>
        <v>1426</v>
      </c>
      <c r="E23" s="1408">
        <f>SUBTOTAL(9,E16:E22)</f>
        <v>2346</v>
      </c>
      <c r="F23" s="1408">
        <f>SUBTOTAL(9,F16:F22)</f>
        <v>2518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1542</v>
      </c>
      <c r="D31" s="1435">
        <f>SUBTOTAL(9,D9:D30)</f>
        <v>1462</v>
      </c>
      <c r="E31" s="1436">
        <f>SUBTOTAL(9,E9:E30)</f>
        <v>2370</v>
      </c>
      <c r="F31" s="1436">
        <f>SUBTOTAL(9,F9:F30)</f>
        <v>2542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NdoQetrLhUiyi3DPhdvso0hNBbsIeOqlEE6lxZAe3BdREHrH1uea+9JXO8VqWTQLevSrTHXRwUCKHNBppwL3g==" saltValue="V96FzXc1PfRy6L922jVbf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soc/6dti7u5JdGE8qlOmQf2wLSeLB5nJKYf7tFcwIYgdhVEITb//Vf94bi6Sdd6IBxrj17m5HR1apVY2izQ/w==" saltValue="jJLUwVLF1g79a9XbkLpt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2374</v>
      </c>
      <c r="J9" s="194">
        <v>2421</v>
      </c>
      <c r="K9" s="194">
        <v>2450</v>
      </c>
      <c r="L9" s="194">
        <v>2648</v>
      </c>
      <c r="M9" s="194">
        <v>409</v>
      </c>
      <c r="N9" s="194">
        <v>1209</v>
      </c>
      <c r="O9" s="194">
        <v>1302</v>
      </c>
      <c r="P9" s="194">
        <v>687</v>
      </c>
      <c r="Q9" s="194">
        <v>585</v>
      </c>
      <c r="R9" s="194">
        <v>8830</v>
      </c>
      <c r="S9" s="194">
        <v>2439</v>
      </c>
      <c r="T9" s="194">
        <v>2114</v>
      </c>
      <c r="U9" s="194">
        <v>2160</v>
      </c>
      <c r="V9" s="194">
        <v>2415</v>
      </c>
      <c r="W9" s="194">
        <v>376</v>
      </c>
      <c r="X9" s="201">
        <v>1363</v>
      </c>
      <c r="Y9" s="204">
        <v>89</v>
      </c>
      <c r="Z9" s="194">
        <v>218</v>
      </c>
      <c r="AA9" s="194">
        <v>197</v>
      </c>
      <c r="AB9" s="194">
        <v>112</v>
      </c>
      <c r="AC9" s="194">
        <v>0</v>
      </c>
      <c r="AD9" s="194">
        <v>0</v>
      </c>
      <c r="AE9" s="194">
        <v>0</v>
      </c>
      <c r="AF9" s="201">
        <v>0</v>
      </c>
      <c r="AG9" s="204">
        <v>106</v>
      </c>
      <c r="AH9" s="194">
        <v>195</v>
      </c>
      <c r="AI9" s="194">
        <v>175</v>
      </c>
      <c r="AJ9" s="205">
        <v>126</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2545</v>
      </c>
      <c r="AZ9" s="133">
        <f>IF(ISNUMBER(IF(J_V="SI",T9,T9+AH9)),IF(J_V="SI",T9,T9+AH9)," - ")</f>
        <v>2309</v>
      </c>
      <c r="BA9" s="134">
        <f>IF(ISNUMBER(IF(J_V="SI",U9,U9+AI9)),IF(J_V="SI",U9,U9+AI9)," - ")</f>
        <v>2335</v>
      </c>
      <c r="BB9" s="134">
        <f>IF(ISNUMBER(IF(J_V="SI",V9,V9+AJ9)),IF(J_V="SI",V9,V9+AJ9)," - ")</f>
        <v>2541</v>
      </c>
      <c r="BC9" s="135">
        <f>IF(ISNUMBER(X9),X9," - ")</f>
        <v>1363</v>
      </c>
      <c r="BD9" s="136">
        <f>IF(ISNUMBER(BA9/AZ9),BA9/AZ9," - ")</f>
        <v>1.0112602858380251</v>
      </c>
      <c r="BE9" s="137">
        <f>IF(ISNUMBER(BB9/BA9),BB9/BA9, " - ")</f>
        <v>1.0882226980728051</v>
      </c>
      <c r="BF9" s="137">
        <f>IF(ISNUMBER(BC9/BA9),BC9/BA9, " - ")</f>
        <v>0.58372591006423979</v>
      </c>
      <c r="BG9" s="209">
        <f>IF(ISNUMBER((AY9+AZ9)/BA9),(AY9+AZ9)/BA9," - ")</f>
        <v>2.0788008565310494</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36</v>
      </c>
      <c r="J10" s="194">
        <v>24</v>
      </c>
      <c r="K10" s="194">
        <v>24</v>
      </c>
      <c r="L10" s="194">
        <v>36</v>
      </c>
      <c r="M10" s="194">
        <v>5</v>
      </c>
      <c r="N10" s="194">
        <v>17</v>
      </c>
      <c r="O10" s="194">
        <v>5</v>
      </c>
      <c r="P10" s="194">
        <v>8</v>
      </c>
      <c r="Q10" s="194">
        <v>4</v>
      </c>
      <c r="R10" s="194">
        <v>66</v>
      </c>
      <c r="S10" s="194">
        <v>69</v>
      </c>
      <c r="T10" s="194">
        <v>23</v>
      </c>
      <c r="U10" s="194">
        <v>37</v>
      </c>
      <c r="V10" s="194">
        <v>55</v>
      </c>
      <c r="W10" s="194">
        <v>15</v>
      </c>
      <c r="X10" s="201">
        <v>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69</v>
      </c>
      <c r="AZ10" s="139">
        <f t="shared" si="0"/>
        <v>23</v>
      </c>
      <c r="BA10" s="139">
        <f t="shared" si="0"/>
        <v>37</v>
      </c>
      <c r="BB10" s="139">
        <f t="shared" si="0"/>
        <v>55</v>
      </c>
      <c r="BC10" s="135">
        <f t="shared" si="0"/>
        <v>15</v>
      </c>
      <c r="BD10" s="136">
        <f>IF(ISNUMBER(BA10/AZ10),BA10/AZ10," - ")</f>
        <v>1.6086956521739131</v>
      </c>
      <c r="BE10" s="137">
        <f>IF(ISNUMBER(BB10/BA10),BB10/BA10, " - ")</f>
        <v>1.4864864864864864</v>
      </c>
      <c r="BF10" s="137">
        <f>IF(ISNUMBER(BC10/BA10),BC10/BA10, " - ")</f>
        <v>0.40540540540540543</v>
      </c>
      <c r="BG10" s="209">
        <f>IF(ISNUMBER((AY10+AZ10)/BA10),(AY10+AZ10)/BA10," - ")</f>
        <v>2.4864864864864864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222</v>
      </c>
      <c r="J11" s="196">
        <v>257</v>
      </c>
      <c r="K11" s="196">
        <v>213</v>
      </c>
      <c r="L11" s="196">
        <v>266</v>
      </c>
      <c r="M11" s="196">
        <v>96</v>
      </c>
      <c r="N11" s="196">
        <v>110</v>
      </c>
      <c r="O11" s="194">
        <v>43</v>
      </c>
      <c r="P11" s="196">
        <v>30</v>
      </c>
      <c r="Q11" s="196">
        <v>19</v>
      </c>
      <c r="R11" s="196">
        <v>143</v>
      </c>
      <c r="S11" s="196">
        <v>315</v>
      </c>
      <c r="T11" s="196">
        <v>230</v>
      </c>
      <c r="U11" s="196">
        <v>268</v>
      </c>
      <c r="V11" s="196">
        <v>277</v>
      </c>
      <c r="W11" s="196">
        <v>127</v>
      </c>
      <c r="X11" s="202">
        <v>98</v>
      </c>
      <c r="Y11" s="204">
        <v>10</v>
      </c>
      <c r="Z11" s="194">
        <v>28</v>
      </c>
      <c r="AA11" s="194">
        <v>24</v>
      </c>
      <c r="AB11" s="194">
        <v>14</v>
      </c>
      <c r="AC11" s="196">
        <v>0</v>
      </c>
      <c r="AD11" s="196">
        <v>0</v>
      </c>
      <c r="AE11" s="196">
        <v>0</v>
      </c>
      <c r="AF11" s="202">
        <v>0</v>
      </c>
      <c r="AG11" s="215">
        <v>8</v>
      </c>
      <c r="AH11" s="196">
        <v>14</v>
      </c>
      <c r="AI11" s="196">
        <v>16</v>
      </c>
      <c r="AJ11" s="216">
        <v>6</v>
      </c>
      <c r="AK11" s="195">
        <v>0</v>
      </c>
      <c r="AL11" s="196">
        <v>0</v>
      </c>
      <c r="AM11" s="196">
        <v>0</v>
      </c>
      <c r="AN11" s="202">
        <v>0</v>
      </c>
      <c r="AO11" s="283">
        <v>1</v>
      </c>
      <c r="AP11" s="168">
        <v>1</v>
      </c>
      <c r="AQ11" s="168">
        <v>1</v>
      </c>
      <c r="AR11" s="167">
        <v>1</v>
      </c>
      <c r="AS11" s="381" t="s">
        <v>1074</v>
      </c>
      <c r="AT11" s="216"/>
      <c r="AU11" s="215"/>
      <c r="AV11" s="216"/>
      <c r="AW11" s="215"/>
      <c r="AX11" s="216"/>
      <c r="AY11" s="136">
        <f t="shared" ref="AY11:BB12" si="1">IF(ISNUMBER(IF(J_V="SI",S11,S11+AG11)),IF(J_V="SI",S11,S11+AG11)," - ")</f>
        <v>323</v>
      </c>
      <c r="AZ11" s="137">
        <f t="shared" si="1"/>
        <v>244</v>
      </c>
      <c r="BA11" s="137">
        <f t="shared" si="1"/>
        <v>284</v>
      </c>
      <c r="BB11" s="137">
        <f t="shared" si="1"/>
        <v>283</v>
      </c>
      <c r="BC11" s="135">
        <f>IF(ISNUMBER(X11),X11," - ")</f>
        <v>98</v>
      </c>
      <c r="BD11" s="136">
        <f t="shared" ref="BD11:BD13" si="2">IF(ISNUMBER(BA11/AZ11),BA11/AZ11," - ")</f>
        <v>1.1639344262295082</v>
      </c>
      <c r="BE11" s="137">
        <f t="shared" ref="BE11:BE13" si="3">IF(ISNUMBER(BB11/BA11),BB11/BA11, " - ")</f>
        <v>0.99647887323943662</v>
      </c>
      <c r="BF11" s="137">
        <f t="shared" ref="BF11:BF13" si="4">IF(ISNUMBER(BC11/BA11),BC11/BA11, " - ")</f>
        <v>0.34507042253521125</v>
      </c>
      <c r="BG11" s="209">
        <f t="shared" ref="BG11:BG13" si="5">IF(ISNUMBER((AY11+AZ11)/BA11),(AY11+AZ11)/BA11," - ")</f>
        <v>1.9964788732394365</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2632</v>
      </c>
      <c r="J14" s="197">
        <f t="shared" si="7"/>
        <v>2702</v>
      </c>
      <c r="K14" s="197">
        <f t="shared" si="7"/>
        <v>2687</v>
      </c>
      <c r="L14" s="197">
        <f t="shared" si="7"/>
        <v>2950</v>
      </c>
      <c r="M14" s="197">
        <f t="shared" si="7"/>
        <v>510</v>
      </c>
      <c r="N14" s="197">
        <f t="shared" si="7"/>
        <v>1336</v>
      </c>
      <c r="O14" s="197">
        <f t="shared" si="7"/>
        <v>1350</v>
      </c>
      <c r="P14" s="197">
        <f t="shared" si="7"/>
        <v>725</v>
      </c>
      <c r="Q14" s="197">
        <f t="shared" si="7"/>
        <v>608</v>
      </c>
      <c r="R14" s="197">
        <f t="shared" si="7"/>
        <v>9039</v>
      </c>
      <c r="S14" s="197">
        <f t="shared" si="7"/>
        <v>2823</v>
      </c>
      <c r="T14" s="197">
        <f t="shared" si="7"/>
        <v>2367</v>
      </c>
      <c r="U14" s="197">
        <f t="shared" si="7"/>
        <v>2465</v>
      </c>
      <c r="V14" s="197">
        <f t="shared" si="7"/>
        <v>2747</v>
      </c>
      <c r="W14" s="197">
        <f t="shared" si="7"/>
        <v>518</v>
      </c>
      <c r="X14" s="197">
        <f t="shared" si="7"/>
        <v>1468</v>
      </c>
      <c r="Y14" s="197">
        <f t="shared" si="7"/>
        <v>99</v>
      </c>
      <c r="Z14" s="197">
        <f t="shared" si="7"/>
        <v>246</v>
      </c>
      <c r="AA14" s="197">
        <f t="shared" si="7"/>
        <v>221</v>
      </c>
      <c r="AB14" s="197">
        <f t="shared" si="7"/>
        <v>126</v>
      </c>
      <c r="AC14" s="197">
        <f t="shared" si="7"/>
        <v>0</v>
      </c>
      <c r="AD14" s="197">
        <f t="shared" si="7"/>
        <v>0</v>
      </c>
      <c r="AE14" s="197">
        <f t="shared" si="7"/>
        <v>0</v>
      </c>
      <c r="AF14" s="197">
        <f>SUBTOTAL(9,AF9:AF13)</f>
        <v>0</v>
      </c>
      <c r="AG14" s="197">
        <f t="shared" ref="AG14:AT14" si="8">SUBTOTAL(9,AG8:AG13)</f>
        <v>114</v>
      </c>
      <c r="AH14" s="197">
        <f t="shared" si="8"/>
        <v>209</v>
      </c>
      <c r="AI14" s="197">
        <f t="shared" si="8"/>
        <v>191</v>
      </c>
      <c r="AJ14" s="197">
        <f t="shared" si="8"/>
        <v>132</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2937</v>
      </c>
      <c r="AZ14" s="197">
        <f>SUBTOTAL(9,AZ8:AZ13)</f>
        <v>2576</v>
      </c>
      <c r="BA14" s="197">
        <f>SUBTOTAL(9,BA8:BA13)</f>
        <v>2656</v>
      </c>
      <c r="BB14" s="197">
        <f>SUBTOTAL(9,BB8:BB13)</f>
        <v>2879</v>
      </c>
      <c r="BC14" s="197">
        <f>SUBTOTAL(9,BC8:BC13)</f>
        <v>1476</v>
      </c>
      <c r="BD14" s="219">
        <f>IF(ISNUMBER(BA14/AZ14),BA14/AZ14," - ")</f>
        <v>1.031055900621118</v>
      </c>
      <c r="BE14" s="220">
        <f>IF(ISNUMBER(BB14/BA14),BB14/BA14, " - ")</f>
        <v>1.083960843373494</v>
      </c>
      <c r="BF14" s="220">
        <f>IF(ISNUMBER(BC14/BA14),BC14/BA14, " - ")</f>
        <v>0.55572289156626509</v>
      </c>
      <c r="BG14" s="221">
        <f>IF(ISNUMBER((AY14+AZ14)/BA14),(AY14+AZ14)/BA14," - ")</f>
        <v>2.0756777108433737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1386</v>
      </c>
      <c r="J16" s="196">
        <v>2159</v>
      </c>
      <c r="K16" s="196">
        <v>2340</v>
      </c>
      <c r="L16" s="196">
        <v>1276</v>
      </c>
      <c r="M16" s="196">
        <v>306</v>
      </c>
      <c r="N16" s="196">
        <v>1466</v>
      </c>
      <c r="O16" s="194">
        <v>48</v>
      </c>
      <c r="P16" s="196">
        <v>136</v>
      </c>
      <c r="Q16" s="196">
        <v>135</v>
      </c>
      <c r="R16" s="196">
        <v>449</v>
      </c>
      <c r="S16" s="196">
        <v>1878</v>
      </c>
      <c r="T16" s="196">
        <v>2165</v>
      </c>
      <c r="U16" s="196">
        <v>2465</v>
      </c>
      <c r="V16" s="196">
        <v>1506</v>
      </c>
      <c r="W16" s="196">
        <v>287</v>
      </c>
      <c r="X16" s="202">
        <v>1553</v>
      </c>
      <c r="Y16" s="215">
        <v>0</v>
      </c>
      <c r="Z16" s="196">
        <v>0</v>
      </c>
      <c r="AA16" s="196">
        <v>0</v>
      </c>
      <c r="AB16" s="196">
        <v>0</v>
      </c>
      <c r="AC16" s="196">
        <v>40</v>
      </c>
      <c r="AD16" s="196">
        <v>244</v>
      </c>
      <c r="AE16" s="196">
        <v>257</v>
      </c>
      <c r="AF16" s="202">
        <v>27</v>
      </c>
      <c r="AG16" s="215">
        <v>0</v>
      </c>
      <c r="AH16" s="196">
        <v>0</v>
      </c>
      <c r="AI16" s="196">
        <v>0</v>
      </c>
      <c r="AJ16" s="216">
        <v>0</v>
      </c>
      <c r="AK16" s="195">
        <v>11</v>
      </c>
      <c r="AL16" s="196">
        <v>203</v>
      </c>
      <c r="AM16" s="196">
        <v>202</v>
      </c>
      <c r="AN16" s="202">
        <v>12</v>
      </c>
      <c r="AO16" s="283">
        <v>6</v>
      </c>
      <c r="AP16" s="168">
        <v>6</v>
      </c>
      <c r="AQ16" s="168">
        <v>6</v>
      </c>
      <c r="AR16" s="168">
        <v>6</v>
      </c>
      <c r="AS16" s="381" t="s">
        <v>702</v>
      </c>
      <c r="AT16" s="216" t="s">
        <v>424</v>
      </c>
      <c r="AU16" s="215"/>
      <c r="AV16" s="216"/>
      <c r="AW16" s="215"/>
      <c r="AX16" s="216"/>
      <c r="AY16" s="138">
        <f t="shared" ref="AY16:BB17" si="10">IF(ISNUMBER(IF(D_I="SI",S16,S16+AK16)),IF(D_I="SI",S16,S16+AK16)," - ")</f>
        <v>1878</v>
      </c>
      <c r="AZ16" s="139">
        <f t="shared" si="10"/>
        <v>2165</v>
      </c>
      <c r="BA16" s="139">
        <f t="shared" si="10"/>
        <v>2465</v>
      </c>
      <c r="BB16" s="139">
        <f t="shared" si="10"/>
        <v>1506</v>
      </c>
      <c r="BC16" s="135">
        <f>IF(ISNUMBER(W16),W16," - ")</f>
        <v>287</v>
      </c>
      <c r="BD16" s="136">
        <f>IF(ISNUMBER(BA16/AZ16),BA16/AZ16," - ")</f>
        <v>1.1385681293302541</v>
      </c>
      <c r="BE16" s="137">
        <f>IF(ISNUMBER(BB16/BA16),BB16/BA16, " - ")</f>
        <v>0.61095334685598379</v>
      </c>
      <c r="BF16" s="137">
        <f>IF(ISNUMBER(BC16/BA16),BC16/BA16, " - ")</f>
        <v>0.11643002028397566</v>
      </c>
      <c r="BG16" s="209">
        <f t="shared" ref="BG16:BG22" si="11">IF(ISNUMBER((AY16+AZ16)/BA16),(AY16+AZ16)/BA16," - ")</f>
        <v>1.6401622718052737</v>
      </c>
      <c r="BH16" s="168">
        <v>6</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40</v>
      </c>
      <c r="J18" s="196">
        <v>187</v>
      </c>
      <c r="K18" s="196">
        <v>178</v>
      </c>
      <c r="L18" s="196">
        <v>58</v>
      </c>
      <c r="M18" s="196">
        <v>6</v>
      </c>
      <c r="N18" s="196">
        <v>88</v>
      </c>
      <c r="O18" s="196">
        <v>2</v>
      </c>
      <c r="P18" s="196">
        <v>1</v>
      </c>
      <c r="Q18" s="196">
        <v>3</v>
      </c>
      <c r="R18" s="196">
        <v>4</v>
      </c>
      <c r="S18" s="196">
        <v>160</v>
      </c>
      <c r="T18" s="196">
        <v>191</v>
      </c>
      <c r="U18" s="196">
        <v>212</v>
      </c>
      <c r="V18" s="196">
        <v>140</v>
      </c>
      <c r="W18" s="196">
        <v>9</v>
      </c>
      <c r="X18" s="202">
        <v>99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160</v>
      </c>
      <c r="AZ18" s="139">
        <f t="shared" si="15"/>
        <v>191</v>
      </c>
      <c r="BA18" s="139">
        <f t="shared" si="15"/>
        <v>212</v>
      </c>
      <c r="BB18" s="139">
        <f t="shared" si="15"/>
        <v>140</v>
      </c>
      <c r="BC18" s="135">
        <f>IF(ISNUMBER(W18),W18," - ")</f>
        <v>9</v>
      </c>
      <c r="BD18" s="136">
        <f>IF(ISNUMBER(BA18/AZ18),BA18/AZ18," - ")</f>
        <v>1.1099476439790577</v>
      </c>
      <c r="BE18" s="137">
        <f>IF(ISNUMBER(BB18/BA18),BB18/BA18, " - ")</f>
        <v>0.660377358490566</v>
      </c>
      <c r="BF18" s="137">
        <f>IF(ISNUMBER(BC18/BA18),BC18/BA18, " - ")</f>
        <v>4.2452830188679243E-2</v>
      </c>
      <c r="BG18" s="209">
        <f>IF(ISNUMBER((AY18+AZ18)/BA18),(AY18+AZ18)/BA18," - ")</f>
        <v>1.6556603773584906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1426</v>
      </c>
      <c r="J23" s="197">
        <f t="shared" si="21"/>
        <v>2346</v>
      </c>
      <c r="K23" s="197">
        <f t="shared" si="21"/>
        <v>2518</v>
      </c>
      <c r="L23" s="197">
        <f t="shared" si="21"/>
        <v>1334</v>
      </c>
      <c r="M23" s="197">
        <f t="shared" si="21"/>
        <v>312</v>
      </c>
      <c r="N23" s="197">
        <f t="shared" si="21"/>
        <v>1554</v>
      </c>
      <c r="O23" s="197">
        <f t="shared" si="21"/>
        <v>50</v>
      </c>
      <c r="P23" s="197">
        <f t="shared" si="21"/>
        <v>137</v>
      </c>
      <c r="Q23" s="197">
        <f t="shared" si="21"/>
        <v>138</v>
      </c>
      <c r="R23" s="197">
        <f t="shared" si="21"/>
        <v>453</v>
      </c>
      <c r="S23" s="197">
        <f t="shared" si="21"/>
        <v>2038</v>
      </c>
      <c r="T23" s="197">
        <f t="shared" si="21"/>
        <v>2356</v>
      </c>
      <c r="U23" s="197">
        <f t="shared" si="21"/>
        <v>2677</v>
      </c>
      <c r="V23" s="197">
        <f t="shared" si="21"/>
        <v>1646</v>
      </c>
      <c r="W23" s="197">
        <f t="shared" si="21"/>
        <v>296</v>
      </c>
      <c r="X23" s="197">
        <f t="shared" si="21"/>
        <v>1652</v>
      </c>
      <c r="Y23" s="197">
        <f t="shared" si="21"/>
        <v>0</v>
      </c>
      <c r="Z23" s="197">
        <f t="shared" si="21"/>
        <v>0</v>
      </c>
      <c r="AA23" s="197">
        <f t="shared" si="21"/>
        <v>0</v>
      </c>
      <c r="AB23" s="197">
        <f t="shared" si="21"/>
        <v>0</v>
      </c>
      <c r="AC23" s="197">
        <f t="shared" si="21"/>
        <v>40</v>
      </c>
      <c r="AD23" s="197">
        <f t="shared" si="21"/>
        <v>244</v>
      </c>
      <c r="AE23" s="197">
        <f t="shared" si="21"/>
        <v>257</v>
      </c>
      <c r="AF23" s="197">
        <f t="shared" si="21"/>
        <v>27</v>
      </c>
      <c r="AG23" s="197">
        <f t="shared" si="21"/>
        <v>0</v>
      </c>
      <c r="AH23" s="197">
        <f t="shared" si="21"/>
        <v>0</v>
      </c>
      <c r="AI23" s="197">
        <f t="shared" si="21"/>
        <v>0</v>
      </c>
      <c r="AJ23" s="197">
        <f t="shared" si="21"/>
        <v>0</v>
      </c>
      <c r="AK23" s="197">
        <f t="shared" si="21"/>
        <v>11</v>
      </c>
      <c r="AL23" s="197">
        <f t="shared" si="21"/>
        <v>203</v>
      </c>
      <c r="AM23" s="197">
        <f t="shared" si="21"/>
        <v>202</v>
      </c>
      <c r="AN23" s="197">
        <f t="shared" si="21"/>
        <v>12</v>
      </c>
      <c r="AO23" s="197">
        <f t="shared" si="21"/>
        <v>7</v>
      </c>
      <c r="AP23" s="197">
        <f t="shared" si="21"/>
        <v>7</v>
      </c>
      <c r="AQ23" s="197">
        <f t="shared" si="21"/>
        <v>7</v>
      </c>
      <c r="AR23" s="197">
        <f t="shared" si="21"/>
        <v>7</v>
      </c>
      <c r="AS23" s="197">
        <f t="shared" si="21"/>
        <v>0</v>
      </c>
      <c r="AT23" s="197">
        <f t="shared" si="21"/>
        <v>0</v>
      </c>
      <c r="AU23" s="217"/>
      <c r="AV23" s="142"/>
      <c r="AW23" s="217"/>
      <c r="AX23" s="142"/>
      <c r="AY23" s="197">
        <f>SUBTOTAL(9,AY15:AY22)</f>
        <v>2038</v>
      </c>
      <c r="AZ23" s="197">
        <f>SUBTOTAL(9,AZ15:AZ22)</f>
        <v>2356</v>
      </c>
      <c r="BA23" s="197">
        <f>SUBTOTAL(9,BA15:BA22)</f>
        <v>2677</v>
      </c>
      <c r="BB23" s="197">
        <f>SUBTOTAL(9,BB15:BB22)</f>
        <v>1646</v>
      </c>
      <c r="BC23" s="197">
        <f>SUBTOTAL(9,BC15:BC22)</f>
        <v>296</v>
      </c>
      <c r="BD23" s="219">
        <f>IF(ISNUMBER(BA23/AZ23),BA23/AZ23," - ")</f>
        <v>1.1362478777589133</v>
      </c>
      <c r="BE23" s="220">
        <f>IF(ISNUMBER(BB23/BA23),BB23/BA23, " - ")</f>
        <v>0.61486738886813597</v>
      </c>
      <c r="BF23" s="220">
        <f>IF(ISNUMBER(BC23/BA23),BC23/BA23, " - ")</f>
        <v>0.11057153530070975</v>
      </c>
      <c r="BG23" s="221">
        <f>IF(ISNUMBER((AY23+AZ23)/BA23),(AY23+AZ23)/BA23," - ")</f>
        <v>1.6413896152409413</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4058</v>
      </c>
      <c r="J31" s="144">
        <f t="shared" si="36"/>
        <v>5048</v>
      </c>
      <c r="K31" s="144">
        <f t="shared" si="36"/>
        <v>5205</v>
      </c>
      <c r="L31" s="144">
        <f t="shared" si="36"/>
        <v>4284</v>
      </c>
      <c r="M31" s="144">
        <f t="shared" si="36"/>
        <v>822</v>
      </c>
      <c r="N31" s="144">
        <f t="shared" si="36"/>
        <v>2890</v>
      </c>
      <c r="O31" s="144">
        <f t="shared" si="36"/>
        <v>1400</v>
      </c>
      <c r="P31" s="144">
        <f t="shared" si="36"/>
        <v>862</v>
      </c>
      <c r="Q31" s="144">
        <f t="shared" si="36"/>
        <v>746</v>
      </c>
      <c r="R31" s="144">
        <f t="shared" si="36"/>
        <v>9492</v>
      </c>
      <c r="S31" s="144">
        <f t="shared" si="36"/>
        <v>4861</v>
      </c>
      <c r="T31" s="144">
        <f t="shared" si="36"/>
        <v>4723</v>
      </c>
      <c r="U31" s="144">
        <f t="shared" si="36"/>
        <v>5142</v>
      </c>
      <c r="V31" s="144">
        <f t="shared" si="36"/>
        <v>4393</v>
      </c>
      <c r="W31" s="144">
        <f t="shared" si="36"/>
        <v>814</v>
      </c>
      <c r="X31" s="144">
        <f t="shared" si="36"/>
        <v>3120</v>
      </c>
      <c r="Y31" s="144">
        <f t="shared" si="36"/>
        <v>99</v>
      </c>
      <c r="Z31" s="144">
        <f t="shared" si="36"/>
        <v>246</v>
      </c>
      <c r="AA31" s="144">
        <f t="shared" si="36"/>
        <v>221</v>
      </c>
      <c r="AB31" s="144">
        <f t="shared" si="36"/>
        <v>126</v>
      </c>
      <c r="AC31" s="144">
        <f t="shared" si="36"/>
        <v>40</v>
      </c>
      <c r="AD31" s="144">
        <f t="shared" si="36"/>
        <v>244</v>
      </c>
      <c r="AE31" s="144">
        <f t="shared" si="36"/>
        <v>257</v>
      </c>
      <c r="AF31" s="144">
        <f t="shared" si="36"/>
        <v>27</v>
      </c>
      <c r="AG31" s="144">
        <f t="shared" si="36"/>
        <v>114</v>
      </c>
      <c r="AH31" s="144">
        <f t="shared" si="36"/>
        <v>209</v>
      </c>
      <c r="AI31" s="144">
        <f t="shared" si="36"/>
        <v>191</v>
      </c>
      <c r="AJ31" s="144">
        <f t="shared" si="36"/>
        <v>132</v>
      </c>
      <c r="AK31" s="144">
        <f t="shared" si="36"/>
        <v>11</v>
      </c>
      <c r="AL31" s="144">
        <f t="shared" si="36"/>
        <v>203</v>
      </c>
      <c r="AM31" s="144">
        <f t="shared" si="36"/>
        <v>202</v>
      </c>
      <c r="AN31" s="224">
        <f t="shared" si="36"/>
        <v>12</v>
      </c>
      <c r="AO31" s="225">
        <v>14</v>
      </c>
      <c r="AP31" s="225">
        <v>14</v>
      </c>
      <c r="AQ31" s="225">
        <v>14</v>
      </c>
      <c r="AR31" s="225">
        <v>14</v>
      </c>
      <c r="AS31" s="166">
        <f t="shared" si="36"/>
        <v>0</v>
      </c>
      <c r="AT31" s="166">
        <f t="shared" si="36"/>
        <v>0</v>
      </c>
      <c r="AU31" s="225"/>
      <c r="AV31" s="226"/>
      <c r="AW31" s="225"/>
      <c r="AX31" s="226"/>
      <c r="AY31" s="143">
        <f>SUBTOTAL(9,AY9:AY30)</f>
        <v>4975</v>
      </c>
      <c r="AZ31" s="144">
        <f>SUBTOTAL(9,AZ9:AZ30)</f>
        <v>4932</v>
      </c>
      <c r="BA31" s="144">
        <f>SUBTOTAL(9,BA9:BA30)</f>
        <v>5333</v>
      </c>
      <c r="BB31" s="144">
        <f>SUBTOTAL(9,BB9:BB30)</f>
        <v>4525</v>
      </c>
      <c r="BC31" s="145">
        <f>SUBTOTAL(9,BC9:BC30)</f>
        <v>1772</v>
      </c>
      <c r="BD31" s="227">
        <f>IF(ISNUMBER(BA31/AZ31),BA31/AZ31," - ")</f>
        <v>1.0813057583130576</v>
      </c>
      <c r="BE31" s="224">
        <f>IF(ISNUMBER(BB31/BA31),BB31/BA31, " - ")</f>
        <v>0.84849053065816615</v>
      </c>
      <c r="BF31" s="224">
        <f>IF(ISNUMBER(BC31/BA31),BC31/BA31, " - ")</f>
        <v>0.33227076692293267</v>
      </c>
      <c r="BG31" s="145">
        <f>IF(ISNUMBER((AY31+AZ31)/BA31),(AY31+AZ31)/BA31," - ")</f>
        <v>1.8576786049128071</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aq3+Ar4u6W0BUJC3cNkeOPGGiukk69sMR7o0nFqK92fxg6REOhn/LFW3cn9JhX3pcCnzY0JMIy83IJrpegWyA==" saltValue="QgwBzLLSQGr8SRJ2mk+V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PJuw2Xrz+VDRsaYekV8PWobk6/iE8HxRvhPbjXxq+yAm+J1+JNYllRw3mgUPlwsABBSfAJXKYL99ZqaYMeqog==" saltValue="nxLLAUArau7ezAu2eC/78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FUENLABRADA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218</v>
      </c>
      <c r="O9" s="549"/>
      <c r="P9" s="549"/>
      <c r="Q9" s="547">
        <f>IF(ISNUMBER(Datos!P9),Datos!P9,0)</f>
        <v>687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585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112</v>
      </c>
      <c r="AI9" s="549" t="str">
        <f>IF(ISNUMBER(Datos!CD9),Datos!CD9,"-")</f>
        <v>-</v>
      </c>
      <c r="AJ9" s="549" t="str">
        <f>IF(ISNUMBER(Datos!EN9),Datos!EN9," - ")</f>
        <v xml:space="preserve"> - </v>
      </c>
      <c r="AK9" s="549"/>
      <c r="AL9" s="550"/>
      <c r="AM9" s="766">
        <f>IF(ISNUMBER(Datos!R9),Datos!R9," - ")</f>
        <v>8830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409</v>
      </c>
      <c r="BD9" s="693">
        <f>IF(ISNUMBER(Datos!N9),Datos!N9," - ")</f>
        <v>1209</v>
      </c>
      <c r="BE9" s="693" t="str">
        <f>IF(ISNUMBER(Datos!BW9),Datos!BW9," - ")</f>
        <v xml:space="preserve"> - </v>
      </c>
      <c r="BF9" s="762" t="str">
        <f>IF(ISNUMBER(Datos!BX9),Datos!BX9," - ")</f>
        <v xml:space="preserve"> - </v>
      </c>
      <c r="BG9" s="763">
        <f>IF(ISNUMBER(IF(J_V="SI",Datos!K9/Datos!J9,(Datos!K9+Datos!AA9)/(Datos!J9+Datos!Z9))),IF(J_V="SI",Datos!K9/Datos!J9,(Datos!K9+Datos!AA9)/(Datos!J9+Datos!Z9))," - ")</f>
        <v>1.0030314513073133</v>
      </c>
      <c r="BH9" s="764">
        <f>IF(ISNUMBER(((IF(J_V="SI",Datos!L9/Datos!K9,(Datos!L9+Datos!AB9)/(Datos!K9+Datos!AA9)))*11)/factor_trimestre),((IF(J_V="SI",Datos!L9/Datos!K9,(Datos!L9+Datos!AB9)/(Datos!K9+Datos!AA9)))*11)/factor_trimestre," - ")</f>
        <v>3.1280695126558364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1.1686526122823098E-2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4</v>
      </c>
      <c r="AD10" s="549"/>
      <c r="AE10" s="563"/>
      <c r="AF10" s="551">
        <f>IF(ISNUMBER(Datos!L10),Datos!L10,"-")</f>
        <v>36</v>
      </c>
      <c r="AG10" s="549"/>
      <c r="AH10" s="549"/>
      <c r="AI10" s="549"/>
      <c r="AJ10" s="549"/>
      <c r="AK10" s="549"/>
      <c r="AL10" s="550"/>
      <c r="AM10" s="766">
        <f>IF(ISNUMBER(Datos!R10),Datos!R10," - ")</f>
        <v>66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17</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6.4516129032258063E-2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321</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28</v>
      </c>
      <c r="O11" s="549"/>
      <c r="P11" s="549"/>
      <c r="Q11" s="547">
        <f>IF(ISNUMBER(Datos!P11),Datos!P11,0)</f>
        <v>30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19</v>
      </c>
      <c r="AD11" s="549"/>
      <c r="AE11" s="563"/>
      <c r="AF11" s="551" t="str">
        <f>IF(ISNUMBER(IF(J_V="SI",Datos!L11,Datos!L11+Datos!AB11)-IF(Monitorios="SI",Datos!CD11,0)),
                          IF(J_V="SI",Datos!L11,Datos!L11+Datos!AB11)-IF(Monitorios="SI",Datos!CD11,0),
                          " - ")</f>
        <v xml:space="preserve"> - </v>
      </c>
      <c r="AG11" s="549"/>
      <c r="AH11" s="549">
        <f>IF(ISNUMBER(Datos!AB11),Datos!AB11,"-")</f>
        <v>14</v>
      </c>
      <c r="AI11" s="549"/>
      <c r="AJ11" s="549"/>
      <c r="AK11" s="549"/>
      <c r="AL11" s="550"/>
      <c r="AM11" s="766">
        <f>IF(ISNUMBER(Datos!R11),Datos!R11," - ")</f>
        <v>143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96</v>
      </c>
      <c r="BD11" s="693">
        <f>IF(ISNUMBER(Datos!N11),Datos!N11," - ")</f>
        <v>110</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0.83157894736842108</v>
      </c>
      <c r="BH11" s="764">
        <f>IF(ISNUMBER(((IF(J_V="SI",Datos!L11/Datos!K11,(Datos!L11+Datos!AB11)/(Datos!K11+Datos!AA11)))*11)/factor_trimestre),((IF(J_V="SI",Datos!L11/Datos!K11,(Datos!L11+Datos!AB11)/(Datos!K11+Datos!AA11)))*11)/factor_trimestre," - ")</f>
        <v>3.5443037974683542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8.3333333333333329E-2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246</v>
      </c>
      <c r="O14" s="1199">
        <f t="shared" si="1"/>
        <v>0</v>
      </c>
      <c r="P14" s="1199">
        <f t="shared" si="1"/>
        <v>0</v>
      </c>
      <c r="Q14" s="1198">
        <f t="shared" si="1"/>
        <v>725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608</v>
      </c>
      <c r="AD14" s="1198">
        <f t="shared" si="2"/>
        <v>0</v>
      </c>
      <c r="AE14" s="1198">
        <f t="shared" si="2"/>
        <v>0</v>
      </c>
      <c r="AF14" s="1198">
        <f t="shared" si="2"/>
        <v>36</v>
      </c>
      <c r="AG14" s="1198">
        <f t="shared" si="2"/>
        <v>0</v>
      </c>
      <c r="AH14" s="1198">
        <f t="shared" si="2"/>
        <v>126</v>
      </c>
      <c r="AI14" s="1198">
        <f t="shared" si="2"/>
        <v>0</v>
      </c>
      <c r="AJ14" s="1198">
        <f t="shared" si="2"/>
        <v>0</v>
      </c>
      <c r="AK14" s="1198">
        <f t="shared" si="2"/>
        <v>0</v>
      </c>
      <c r="AL14" s="1198">
        <f t="shared" si="2"/>
        <v>0</v>
      </c>
      <c r="AM14" s="1198">
        <f t="shared" si="2"/>
        <v>9039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510</v>
      </c>
      <c r="BD14" s="1198">
        <f t="shared" si="2"/>
        <v>1336</v>
      </c>
      <c r="BE14" s="1198">
        <f t="shared" si="2"/>
        <v>0</v>
      </c>
      <c r="BF14" s="1198">
        <f t="shared" si="2"/>
        <v>0</v>
      </c>
      <c r="BG14" s="1198">
        <f>IF(ISNUMBER(Datos!K14/Datos!J14),Datos!K14/Datos!J14," - ")</f>
        <v>0.99444855662472242</v>
      </c>
      <c r="BH14" s="1202">
        <f>IF(ISNUMBER(((Datos!L14/Datos!K14)*11)/factor_trimestre),((Datos!L14/Datos!K14)*11)/factor_trimestre," - ")</f>
        <v>3.293636025307034</v>
      </c>
      <c r="BI14" s="1198">
        <f>IF(ISNUMBER('Resol  Asuntos'!D14/NºAsuntos!G14),'Resol  Asuntos'!D14/NºAsuntos!G14," - ")</f>
        <v>0.17537826685006877</v>
      </c>
      <c r="BJ14" s="1198" t="str">
        <f>IF(ISNUMBER(Datos!CI14/Datos!CJ14),Datos!CI14/Datos!CJ14," - ")</f>
        <v xml:space="preserve"> - </v>
      </c>
      <c r="BK14" s="1198">
        <f>SUBTOTAL(9,BK8:BK13)</f>
        <v>0</v>
      </c>
      <c r="BL14" s="1198">
        <f>IF(ISNUMBER((I14-AB14+L14)/(F14)),(I14-AB14+L14)/(F14)," - ")</f>
        <v>-0.66666666666666663</v>
      </c>
      <c r="BM14" s="1203">
        <f>SUBTOTAL(9,BM9:BM13)</f>
        <v>0.15953598848841449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6</v>
      </c>
      <c r="B16" s="737" t="s">
        <v>511</v>
      </c>
      <c r="C16" s="749" t="str">
        <f>Datos!A16</f>
        <v xml:space="preserve">Jdos. Instrucción                               </v>
      </c>
      <c r="D16" s="750"/>
      <c r="E16" s="1555">
        <f>IF(ISNUMBER(Datos!AQ16),Datos!AQ16," - ")</f>
        <v>6</v>
      </c>
      <c r="F16" s="740">
        <f>IF(ISNUMBER(AF16+AB16-Datos!J16-L16),AF16+AB16-Datos!J16-L16," - ")</f>
        <v>1457</v>
      </c>
      <c r="G16" s="743">
        <f>IF(ISNUMBER(IF(D_I="SI",Datos!I16,Datos!I16+Datos!AC16)),IF(D_I="SI",Datos!I16,Datos!I16+Datos!AC16)," - ")</f>
        <v>1386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136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2340</v>
      </c>
      <c r="AC16" s="240">
        <f>IF(ISNUMBER(Datos!Q16),Datos!Q16," - ")</f>
        <v>135</v>
      </c>
      <c r="AD16" s="374"/>
      <c r="AE16" s="562"/>
      <c r="AF16" s="741">
        <f>IF(ISNUMBER(IF(D_I="SI",Datos!L16,Datos!L16+Datos!AF16)),IF(D_I="SI",Datos!L16,Datos!L16+Datos!AF16)," - ")</f>
        <v>1276</v>
      </c>
      <c r="AG16" s="374"/>
      <c r="AH16" s="374"/>
      <c r="AI16" s="374"/>
      <c r="AJ16" s="549"/>
      <c r="AK16" s="374"/>
      <c r="AL16" s="545"/>
      <c r="AM16" s="375">
        <f>IF(ISNUMBER(Datos!R16),Datos!R16," - ")</f>
        <v>449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306</v>
      </c>
      <c r="BD16" s="243">
        <f>IF(ISNUMBER(Datos!N16),Datos!N16," - ")</f>
        <v>1466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1.0838351088466882</v>
      </c>
      <c r="BH16" s="764">
        <f>IF(ISNUMBER(((IF(D_I="SI",Datos!L16/Datos!K16,(Datos!L16+Datos!AF16)/(Datos!K16+Datos!AE16)))*11)/factor_trimestre),((IF(D_I="SI",Datos!L16/Datos!K16,(Datos!L16+Datos!AF16)/(Datos!K16+Datos!AE16)))*11)/factor_trimestre," - ")</f>
        <v>1.6358974358974356</v>
      </c>
      <c r="BI16" s="266">
        <f>IF(ISNUMBER('Resol  Asuntos'!D16/NºAsuntos!G16),'Resol  Asuntos'!D16/NºAsuntos!G16," - ")</f>
        <v>0.13076923076923078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40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178</v>
      </c>
      <c r="AC18" s="547">
        <f>IF(ISNUMBER(Datos!Q18),Datos!Q18," - ")</f>
        <v>3</v>
      </c>
      <c r="AD18" s="549"/>
      <c r="AE18" s="562"/>
      <c r="AF18" s="551">
        <f>IF(ISNUMBER(Datos!L18),Datos!L18,"-")</f>
        <v>58</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88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0.95187165775401072</v>
      </c>
      <c r="BH18" s="764">
        <f>IF(ISNUMBER(((IF(D_I="SI",Datos!L18/Datos!K18,(Datos!L18+Datos!AF18)/(Datos!K18+Datos!AE18)))*11)/factor_trimestre),((IF(D_I="SI",Datos!L18/Datos!K18,(Datos!L18+Datos!AF18)/(Datos!K18+Datos!AE18)))*11)/factor_trimestre," - ")</f>
        <v>0.97752808988764051</v>
      </c>
      <c r="BI18" s="763">
        <f>IF(ISNUMBER('Resol  Asuntos'!D18/NºAsuntos!G18),'Resol  Asuntos'!D18/NºAsuntos!G18," - ")</f>
        <v>3.3707865168539325E-2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1457</v>
      </c>
      <c r="G23" s="1197">
        <f>SUBTOTAL(9,G16:G22)</f>
        <v>1426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137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2518</v>
      </c>
      <c r="AC23" s="1198">
        <f t="shared" si="5"/>
        <v>138</v>
      </c>
      <c r="AD23" s="1198">
        <f t="shared" si="5"/>
        <v>0</v>
      </c>
      <c r="AE23" s="1198">
        <f t="shared" si="5"/>
        <v>0</v>
      </c>
      <c r="AF23" s="1198">
        <f t="shared" si="5"/>
        <v>1334</v>
      </c>
      <c r="AG23" s="1198">
        <f t="shared" si="5"/>
        <v>0</v>
      </c>
      <c r="AH23" s="1198">
        <f t="shared" si="5"/>
        <v>0</v>
      </c>
      <c r="AI23" s="1198">
        <f t="shared" si="5"/>
        <v>0</v>
      </c>
      <c r="AJ23" s="1198">
        <f t="shared" si="5"/>
        <v>0</v>
      </c>
      <c r="AK23" s="1198">
        <f t="shared" si="5"/>
        <v>0</v>
      </c>
      <c r="AL23" s="1198">
        <f t="shared" si="5"/>
        <v>0</v>
      </c>
      <c r="AM23" s="1198">
        <f t="shared" si="5"/>
        <v>453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312</v>
      </c>
      <c r="BD23" s="1198">
        <f t="shared" si="5"/>
        <v>1554</v>
      </c>
      <c r="BE23" s="1198">
        <f t="shared" si="5"/>
        <v>0</v>
      </c>
      <c r="BF23" s="1198">
        <f t="shared" si="5"/>
        <v>0</v>
      </c>
      <c r="BG23" s="1198">
        <f>IF(ISNUMBER(Datos!K23/Datos!J23),Datos!K23/Datos!J23," - ")</f>
        <v>1.0733162830349532</v>
      </c>
      <c r="BH23" s="1202">
        <f>IF(ISNUMBER(((Datos!L23/Datos!K23)*11)/factor_trimestre),((Datos!L23/Datos!K23)*11)/factor_trimestre," - ")</f>
        <v>1.5893566322478156</v>
      </c>
      <c r="BI23" s="1198">
        <f>SUBTOTAL(9,BI16:BI22)</f>
        <v>0.1644770959377701</v>
      </c>
      <c r="BJ23" s="1198">
        <f>SUBTOTAL(9,BJ16:BJ22)</f>
        <v>0</v>
      </c>
      <c r="BK23" s="1198">
        <f>SUBTOTAL(9,BK16:BK22)</f>
        <v>0</v>
      </c>
      <c r="BL23" s="1198">
        <f>IF(ISNUMBER((I23-AB23+L23)/(F23)),(I23-AB23+L23)/(F23)," - ")</f>
        <v>-1.7282086479066576</v>
      </c>
      <c r="BM23" s="1205">
        <f>IF(ISNUMBER((Datos!P23-Datos!Q23)/(Datos!R23-Datos!P23+Datos!Q23)),(Datos!P23-Datos!Q23)/(Datos!R23-Datos!P23+Datos!Q23)," - ")</f>
        <v>-2.2026431718061676E-3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1493</v>
      </c>
      <c r="G31" s="1117">
        <f t="shared" si="18"/>
        <v>1462</v>
      </c>
      <c r="H31" s="1119">
        <f t="shared" si="18"/>
        <v>0</v>
      </c>
      <c r="I31" s="1117">
        <f t="shared" si="18"/>
        <v>0</v>
      </c>
      <c r="J31" s="1119">
        <f t="shared" si="18"/>
        <v>0</v>
      </c>
      <c r="K31" s="1119">
        <f t="shared" si="18"/>
        <v>0</v>
      </c>
      <c r="L31" s="1180">
        <f t="shared" si="18"/>
        <v>0</v>
      </c>
      <c r="M31" s="1180">
        <f t="shared" si="18"/>
        <v>0</v>
      </c>
      <c r="N31" s="1180">
        <f t="shared" si="18"/>
        <v>246</v>
      </c>
      <c r="O31" s="1180">
        <f t="shared" si="18"/>
        <v>0</v>
      </c>
      <c r="P31" s="1180">
        <f t="shared" si="18"/>
        <v>0</v>
      </c>
      <c r="Q31" s="1119">
        <f t="shared" si="18"/>
        <v>862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2542</v>
      </c>
      <c r="AC31" s="1118">
        <f t="shared" si="19"/>
        <v>746</v>
      </c>
      <c r="AD31" s="1118">
        <f t="shared" si="19"/>
        <v>0</v>
      </c>
      <c r="AE31" s="1118">
        <f t="shared" si="19"/>
        <v>0</v>
      </c>
      <c r="AF31" s="1125">
        <f t="shared" si="19"/>
        <v>1370</v>
      </c>
      <c r="AG31" s="1125">
        <f t="shared" si="19"/>
        <v>0</v>
      </c>
      <c r="AH31" s="1125">
        <f t="shared" si="19"/>
        <v>126</v>
      </c>
      <c r="AI31" s="1125">
        <f t="shared" si="19"/>
        <v>0</v>
      </c>
      <c r="AJ31" s="1118">
        <f t="shared" si="19"/>
        <v>0</v>
      </c>
      <c r="AK31" s="1125">
        <f t="shared" si="19"/>
        <v>0</v>
      </c>
      <c r="AL31" s="1125">
        <f t="shared" si="19"/>
        <v>0</v>
      </c>
      <c r="AM31" s="1125">
        <f t="shared" si="19"/>
        <v>9492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822</v>
      </c>
      <c r="BD31" s="1117">
        <f t="shared" si="19"/>
        <v>2890</v>
      </c>
      <c r="BE31" s="1117">
        <f t="shared" si="19"/>
        <v>0</v>
      </c>
      <c r="BF31" s="1127">
        <f t="shared" si="19"/>
        <v>0</v>
      </c>
      <c r="BG31" s="1223">
        <f>IF(ISNUMBER(Datos!K31/Datos!J31),Datos!K31/Datos!J31," - ")</f>
        <v>1.0311014263074485</v>
      </c>
      <c r="BH31" s="1223">
        <f>IF(ISNUMBER(((Datos!L31/Datos!K31)*11)/factor_trimestre),((Datos!L31/Datos!K31)*11)/factor_trimestre," - ")</f>
        <v>2.4691642651296832</v>
      </c>
      <c r="BI31" s="1103">
        <f>IF(ISNUMBER(Datos!J31/Datos!I31),Datos!J31/Datos!I31," - ")</f>
        <v>1.2439625431246919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-1.7026121902210314</v>
      </c>
      <c r="BM31" s="1188">
        <f>IF(ISNUMBER((Datos!P31-Datos!Q31+R31)/(Datos!R31-Datos!P31+Datos!Q31-R31)),(Datos!P31-Datos!Q31+R31)/(Datos!R31-Datos!P31+Datos!Q31-R31)," - ")</f>
        <v>1.2372013651877133E-2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2.7951503532146571</v>
      </c>
      <c r="F33" s="673">
        <f>IF(ISNUMBER(STDEV(F8:F30)),STDEV(F8:F30),"-")</f>
        <v>743.27078959600351</v>
      </c>
      <c r="G33" s="674">
        <f>IF(ISNUMBER(STDEV(G8:G30)),STDEV(G8:G30),"-")</f>
        <v>675.4341108466748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1165.9276298704126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202.27889163232035</v>
      </c>
      <c r="BD33" s="673"/>
      <c r="BE33" s="673">
        <f>IF(ISNUMBER(STDEV(BE8:BE30)),STDEV(BE8:BE30),"-")</f>
        <v>0</v>
      </c>
      <c r="BF33" s="678">
        <f>IF(ISNUMBER(STDEV(BF8:BF30)),STDEV(BF8:BF30),"-")</f>
        <v>0</v>
      </c>
      <c r="BG33" s="1052">
        <f>IF(ISNUMBER(STDEV(BG8:BG30)),STDEV(BG8:BG30),"-")</f>
        <v>8.4239646437895055E-2</v>
      </c>
      <c r="BH33" s="1058">
        <f>IF(ISNUMBER(STDEV(BH8:BH30)),STDEV(BH8:BH30),"-")</f>
        <v>1.2789065519271277</v>
      </c>
      <c r="BI33" s="273">
        <f>IF(ISNUMBER(STDEV(BI8:BI30)),STDEV(BI8:BI30),"-")</f>
        <v>6.4444436611700809E-2</v>
      </c>
      <c r="BJ33" s="244" t="str">
        <f>IF(ISNUMBER(BL33/BM33),BL33/BM33," - ")</f>
        <v xml:space="preserve"> - </v>
      </c>
      <c r="BK33" s="709"/>
      <c r="BL33" s="681">
        <f>IF(ISNUMBER(STDEV(BL8:BL30)),STDEV(BL8:BL30),"-")</f>
        <v>0.75062353344900079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zne6Xnr+bWpxdlbFEO4Ga5aafYhQ4ZuIV1SkiaFHWAMda2TSq7ljmZVk7zkBw/hp9vlKdZwsFtAy7wT+bR4O8Q==" saltValue="iKKW5tJQXTpcJmyi+HoT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FUENLABRADA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687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585</v>
      </c>
      <c r="AA9" s="551" t="str">
        <f>IF(ISNUMBER(IF(J_V="SI",Datos!L9,Datos!L9+Datos!AB9)-IF(Monitorios="SI",Datos!CD9,0)),
                          IF(J_V="SI",Datos!L9,Datos!L9+Datos!AB9)-IF(Monitorios="SI",Datos!CD9,0),
                          " - ")</f>
        <v xml:space="preserve"> - </v>
      </c>
      <c r="AB9" s="549"/>
      <c r="AC9" s="549"/>
      <c r="AD9" s="563"/>
      <c r="AE9" s="563">
        <f>IF(ISNUMBER(Datos!R9),Datos!R9," - ")</f>
        <v>8830</v>
      </c>
      <c r="AF9" s="693" t="str">
        <f>IF(ISNUMBER(Datos!BV9),Datos!BV9," - ")</f>
        <v xml:space="preserve"> - </v>
      </c>
      <c r="AG9" s="552" t="str">
        <f>IF(ISNUMBER(Datos!DV9),Datos!DV9," - ")</f>
        <v xml:space="preserve"> - </v>
      </c>
      <c r="AH9" s="553"/>
      <c r="AI9" s="554"/>
      <c r="AJ9" s="552">
        <f>IF(ISNUMBER(Datos!M9),Datos!M9," - ")</f>
        <v>409</v>
      </c>
      <c r="AK9" s="693">
        <f>IF(ISNUMBER(Datos!N9),Datos!N9," - ")</f>
        <v>1209</v>
      </c>
      <c r="AL9" s="693" t="str">
        <f>IF(ISNUMBER(Datos!BW9),Datos!BW9," - ")</f>
        <v xml:space="preserve"> - </v>
      </c>
      <c r="AM9" s="762" t="str">
        <f>IF(ISNUMBER(Datos!BX9),Datos!BX9," - ")</f>
        <v xml:space="preserve"> - </v>
      </c>
      <c r="AN9" s="763"/>
      <c r="AO9" s="764">
        <f>IF(ISNUMBER(((NºAsuntos!I9/NºAsuntos!G9)*11)/factor_trimestre),((NºAsuntos!I9/NºAsuntos!G9)*11)/factor_trimestre," - ")</f>
        <v>3.1280695126558364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1.1686526122823098E-2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4</v>
      </c>
      <c r="AA10" s="551">
        <f>IF(ISNUMBER(Datos!L10),Datos!L10,"-")</f>
        <v>36</v>
      </c>
      <c r="AB10" s="549"/>
      <c r="AC10" s="549"/>
      <c r="AD10" s="563"/>
      <c r="AE10" s="563">
        <f>IF(ISNUMBER(Datos!R10),Datos!R10," - ")</f>
        <v>66</v>
      </c>
      <c r="AF10" s="693" t="str">
        <f>IF(ISNUMBER(Datos!BV10),Datos!BV10," - ")</f>
        <v xml:space="preserve"> - </v>
      </c>
      <c r="AG10" s="552" t="str">
        <f>IF(ISNUMBER(Datos!DV10),Datos!DV10," - ")</f>
        <v xml:space="preserve"> - </v>
      </c>
      <c r="AH10" s="553"/>
      <c r="AI10" s="554"/>
      <c r="AJ10" s="552">
        <f>IF(ISNUMBER(Datos!M10),Datos!M10," - ")</f>
        <v>5</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6.4516129032258063E-2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321</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19</v>
      </c>
      <c r="AA11" s="551" t="str">
        <f>IF(ISNUMBER(IF(J_V="SI",Datos!L11,Datos!L11+Datos!AB11)-IF(Monitorios="SI",Datos!CD11,0)),
                          IF(J_V="SI",Datos!L11,Datos!L11+Datos!AB11)-IF(Monitorios="SI",Datos!CD11,0),
                          " - ")</f>
        <v xml:space="preserve"> - </v>
      </c>
      <c r="AB11" s="549"/>
      <c r="AC11" s="549"/>
      <c r="AD11" s="563"/>
      <c r="AE11" s="563">
        <f>IF(ISNUMBER(Datos!R11),Datos!R11," - ")</f>
        <v>143</v>
      </c>
      <c r="AF11" s="693" t="str">
        <f>IF(ISNUMBER(Datos!BV11),Datos!BV11," - ")</f>
        <v xml:space="preserve"> - </v>
      </c>
      <c r="AG11" s="552" t="str">
        <f>IF(ISNUMBER(Datos!DV11),Datos!DV11," - ")</f>
        <v xml:space="preserve"> - </v>
      </c>
      <c r="AH11" s="553"/>
      <c r="AI11" s="554"/>
      <c r="AJ11" s="552">
        <f>IF(ISNUMBER(Datos!M11),Datos!M11," - ")</f>
        <v>96</v>
      </c>
      <c r="AK11" s="693">
        <f>IF(ISNUMBER(Datos!N11),Datos!N11," - ")</f>
        <v>110</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3.5443037974683542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8.3333333333333329E-2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725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608</v>
      </c>
      <c r="AA14" s="1199">
        <f t="shared" si="3"/>
        <v>36</v>
      </c>
      <c r="AB14" s="1199">
        <f t="shared" si="3"/>
        <v>0</v>
      </c>
      <c r="AC14" s="1199">
        <f t="shared" si="3"/>
        <v>0</v>
      </c>
      <c r="AD14" s="1199">
        <f t="shared" si="3"/>
        <v>0</v>
      </c>
      <c r="AE14" s="1199">
        <f t="shared" si="3"/>
        <v>9039</v>
      </c>
      <c r="AF14" s="1211">
        <f t="shared" si="3"/>
        <v>0</v>
      </c>
      <c r="AG14" s="1211">
        <f t="shared" si="3"/>
        <v>0</v>
      </c>
      <c r="AH14" s="1211">
        <f t="shared" si="3"/>
        <v>0</v>
      </c>
      <c r="AI14" s="1211">
        <f t="shared" si="3"/>
        <v>0</v>
      </c>
      <c r="AJ14" s="1211">
        <f t="shared" si="3"/>
        <v>510</v>
      </c>
      <c r="AK14" s="1211">
        <f t="shared" si="3"/>
        <v>1336</v>
      </c>
      <c r="AL14" s="1211">
        <f t="shared" si="3"/>
        <v>0</v>
      </c>
      <c r="AM14" s="1211">
        <f t="shared" si="3"/>
        <v>0</v>
      </c>
      <c r="AN14" s="1211">
        <f t="shared" si="3"/>
        <v>0</v>
      </c>
      <c r="AO14" s="1203">
        <f>IF(ISNUMBER(((NºAsuntos!I14/NºAsuntos!G14)*11)/factor_trimestre),((NºAsuntos!I14/NºAsuntos!G14)*11)/factor_trimestre," - ")</f>
        <v>3.1733149931224212</v>
      </c>
      <c r="AP14" s="1213" t="str">
        <f>IF(ISNUMBER(Datos!CI14/Datos!CJ14),Datos!CI14/Datos!CJ14," - ")</f>
        <v xml:space="preserve"> - </v>
      </c>
      <c r="AQ14" s="1236">
        <f t="shared" ref="AQ14:AV14" si="4">SUBTOTAL(9,AQ9:AQ13)</f>
        <v>0</v>
      </c>
      <c r="AR14" s="1236">
        <f t="shared" si="4"/>
        <v>0.15953598848841449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6</v>
      </c>
      <c r="B16" s="746" t="s">
        <v>511</v>
      </c>
      <c r="C16" s="765" t="str">
        <f>Datos!A16</f>
        <v xml:space="preserve">Jdos. Instrucción                               </v>
      </c>
      <c r="D16" s="593"/>
      <c r="E16" s="1558">
        <f>IF(ISNUMBER(Datos!AQ16),Datos!AQ16," - ")</f>
        <v>6</v>
      </c>
      <c r="F16" s="543">
        <f>IF(ISNUMBER(AA16+Y16-Datos!J16-K16),AA16+Y16-Datos!J16-K16," - ")</f>
        <v>1457</v>
      </c>
      <c r="G16" s="552">
        <f>IF(ISNUMBER(IF(D_I="SI",Datos!I16,Datos!I16+Datos!AC16)),IF(D_I="SI",Datos!I16,Datos!I16+Datos!AC16)," - ")</f>
        <v>1386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136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2340</v>
      </c>
      <c r="Z16" s="805">
        <f>IF(ISNUMBER(Datos!Q16),Datos!Q16," - ")</f>
        <v>135</v>
      </c>
      <c r="AA16" s="551">
        <f>IF(ISNUMBER(IF(D_I="SI",Datos!L16,Datos!L16+Datos!AF16)),IF(D_I="SI",Datos!L16,Datos!L16+Datos!AF16)," - ")</f>
        <v>1276</v>
      </c>
      <c r="AB16" s="549"/>
      <c r="AC16" s="549"/>
      <c r="AD16" s="563"/>
      <c r="AE16" s="563">
        <f>IF(ISNUMBER(Datos!R16),Datos!R16," - ")</f>
        <v>449</v>
      </c>
      <c r="AF16" s="693" t="str">
        <f>IF(ISNUMBER(Datos!BV16),Datos!BV16," - ")</f>
        <v xml:space="preserve"> - </v>
      </c>
      <c r="AG16" s="552"/>
      <c r="AH16" s="553"/>
      <c r="AI16" s="554"/>
      <c r="AJ16" s="552">
        <f>IF(ISNUMBER(Datos!M16),Datos!M16," - ")</f>
        <v>306</v>
      </c>
      <c r="AK16" s="693">
        <f>IF(ISNUMBER(Datos!N16),Datos!N16," - ")</f>
        <v>1466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1.6358974358974356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40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178</v>
      </c>
      <c r="Z18" s="805">
        <f>IF(ISNUMBER(Datos!Q18),Datos!Q18," - ")</f>
        <v>3</v>
      </c>
      <c r="AA18" s="551">
        <f>IF(ISNUMBER(Datos!L18),Datos!L18,"-")</f>
        <v>58</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6</v>
      </c>
      <c r="AK18" s="693">
        <f>IF(ISNUMBER(Datos!N18),Datos!N18," - ")</f>
        <v>88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0.97752808988764051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1457</v>
      </c>
      <c r="G23" s="1197">
        <f>SUBTOTAL(9,G16:G22)</f>
        <v>1426</v>
      </c>
      <c r="H23" s="1240">
        <f>SUBTOTAL(9,H16:H22)</f>
        <v>0</v>
      </c>
      <c r="I23" s="1217">
        <f>SUBTOTAL(9,I16:I22)</f>
        <v>0</v>
      </c>
      <c r="J23" s="1164">
        <f>SUBTOTAL(9,J15:J22)</f>
        <v>0</v>
      </c>
      <c r="K23" s="1240">
        <f t="shared" ref="K23:S23" si="5">SUBTOTAL(9,K16:K22)</f>
        <v>0</v>
      </c>
      <c r="L23" s="1240">
        <f t="shared" si="5"/>
        <v>0</v>
      </c>
      <c r="M23" s="1240">
        <f t="shared" si="5"/>
        <v>0</v>
      </c>
      <c r="N23" s="1240">
        <f t="shared" si="5"/>
        <v>137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2518</v>
      </c>
      <c r="Z23" s="1240">
        <f t="shared" si="6"/>
        <v>138</v>
      </c>
      <c r="AA23" s="1240">
        <f t="shared" si="6"/>
        <v>1334</v>
      </c>
      <c r="AB23" s="1240">
        <f t="shared" si="6"/>
        <v>0</v>
      </c>
      <c r="AC23" s="1240">
        <f t="shared" si="6"/>
        <v>0</v>
      </c>
      <c r="AD23" s="1240">
        <f t="shared" si="6"/>
        <v>0</v>
      </c>
      <c r="AE23" s="1240">
        <f t="shared" si="6"/>
        <v>453</v>
      </c>
      <c r="AF23" s="1240">
        <f t="shared" si="6"/>
        <v>0</v>
      </c>
      <c r="AG23" s="1240">
        <f t="shared" si="6"/>
        <v>0</v>
      </c>
      <c r="AH23" s="1240">
        <f t="shared" si="6"/>
        <v>0</v>
      </c>
      <c r="AI23" s="1240">
        <f t="shared" si="6"/>
        <v>0</v>
      </c>
      <c r="AJ23" s="1240">
        <f t="shared" si="6"/>
        <v>312</v>
      </c>
      <c r="AK23" s="1240">
        <f t="shared" si="6"/>
        <v>1554</v>
      </c>
      <c r="AL23" s="1240">
        <f t="shared" si="6"/>
        <v>0</v>
      </c>
      <c r="AM23" s="1240">
        <f t="shared" si="6"/>
        <v>0</v>
      </c>
      <c r="AN23" s="1240">
        <f t="shared" si="6"/>
        <v>0</v>
      </c>
      <c r="AO23" s="1242">
        <f>IF(ISNUMBER(((NºAsuntos!I23/NºAsuntos!G23)*11)/factor_trimestre),((NºAsuntos!I23/NºAsuntos!G23)*11)/factor_trimestre," - ")</f>
        <v>1.5893566322478156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1493</v>
      </c>
      <c r="G31" s="1117">
        <f t="shared" si="12"/>
        <v>1462</v>
      </c>
      <c r="H31" s="1118">
        <f t="shared" si="12"/>
        <v>0</v>
      </c>
      <c r="I31" s="1117">
        <f t="shared" si="12"/>
        <v>0</v>
      </c>
      <c r="J31" s="1119">
        <f t="shared" si="12"/>
        <v>0</v>
      </c>
      <c r="K31" s="1117">
        <f t="shared" si="12"/>
        <v>0</v>
      </c>
      <c r="L31" s="1120">
        <f t="shared" si="12"/>
        <v>0</v>
      </c>
      <c r="M31" s="1117">
        <f t="shared" si="12"/>
        <v>0</v>
      </c>
      <c r="N31" s="1118">
        <f t="shared" si="12"/>
        <v>862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2542</v>
      </c>
      <c r="Z31" s="1124">
        <f t="shared" si="13"/>
        <v>746</v>
      </c>
      <c r="AA31" s="1125">
        <f t="shared" si="13"/>
        <v>1370</v>
      </c>
      <c r="AB31" s="1125">
        <f t="shared" si="13"/>
        <v>0</v>
      </c>
      <c r="AC31" s="1125">
        <f t="shared" si="13"/>
        <v>0</v>
      </c>
      <c r="AD31" s="1126">
        <f t="shared" si="13"/>
        <v>0</v>
      </c>
      <c r="AE31" s="1126">
        <f t="shared" si="13"/>
        <v>9492</v>
      </c>
      <c r="AF31" s="1127">
        <f t="shared" si="13"/>
        <v>0</v>
      </c>
      <c r="AG31" s="1128">
        <f t="shared" si="13"/>
        <v>0</v>
      </c>
      <c r="AH31" s="1129">
        <f t="shared" si="13"/>
        <v>0</v>
      </c>
      <c r="AI31" s="1127">
        <f t="shared" si="13"/>
        <v>0</v>
      </c>
      <c r="AJ31" s="1117">
        <f t="shared" si="13"/>
        <v>822</v>
      </c>
      <c r="AK31" s="1117">
        <f t="shared" si="13"/>
        <v>2890</v>
      </c>
      <c r="AL31" s="1117">
        <f t="shared" si="13"/>
        <v>0</v>
      </c>
      <c r="AM31" s="1130">
        <f t="shared" si="13"/>
        <v>0</v>
      </c>
      <c r="AN31" s="1120">
        <f>IF(ISNUMBER(Datos!K31/Datos!J31),Datos!K31/Datos!J31," - ")</f>
        <v>1.0311014263074485</v>
      </c>
      <c r="AO31" s="1120">
        <f>IF(ISNUMBER(FIND("06",Criterios!A8,1)),(IF(ISNUMBER(((Datos!R31/Datos!Q31)*11)/factor_trimestre),((Datos!R31/Datos!Q31)*11)/factor_trimestre," - ")),(IF(ISNUMBER(((Datos!L31/Datos!K31)*11)/factor_trimestre),((Datos!L31/Datos!K31)*11)/factor_trimestre," - ")))</f>
        <v>2.4691642651296832</v>
      </c>
      <c r="AP31" s="1131" t="str">
        <f>IF(ISNUMBER(Datos!CI31/Datos!CJ31),Datos!CI31/Datos!CJ31," - ")</f>
        <v xml:space="preserve"> - </v>
      </c>
      <c r="AQ31" s="1131">
        <f>IF(OR(ISNUMBER(FIND("01",Criterios!A8,1)),ISNUMBER(FIND("02",Criterios!A8,1)),ISNUMBER(FIND("03",Criterios!A8,1)),ISNUMBER(FIND("04",Criterios!A8,1))),(J31-Y31+K31)/(F31-K31),(I31-Y31+K31)/(F31-K31))</f>
        <v>-1.7026121902210314</v>
      </c>
      <c r="AR31" s="1131">
        <f>IF(ISNUMBER((Datos!P31-Datos!Q31+O31)/(Datos!R31-Datos!P31+Datos!Q31-O31)),(Datos!P31-Datos!Q31+O31)/(Datos!R31-Datos!P31+Datos!Q31-O31)," - ")</f>
        <v>1.2372013651877133E-2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743.27078959600351</v>
      </c>
      <c r="G33" s="674">
        <f>IF(ISNUMBER(STDEV(G8:G30)),STDEV(G8:G30),"-")</f>
        <v>675.4341108466748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202.27889163232035</v>
      </c>
      <c r="AK33" s="276"/>
      <c r="AL33" s="276">
        <f>IF(ISNUMBER(STDEV(AL8:AL30)),STDEV(AL8:AL30),"-")</f>
        <v>0</v>
      </c>
      <c r="AM33" s="278">
        <f>IF(ISNUMBER(STDEV(AM8:AM30)),STDEV(AM8:AM30),"-")</f>
        <v>0</v>
      </c>
      <c r="AN33" s="660">
        <f>IF(ISNUMBER(STDEV(AN8:AN30)),STDEV(AN8:AN30),"-")</f>
        <v>0</v>
      </c>
      <c r="AO33" s="661">
        <f>IF(ISNUMBER(STDEV(AO8:AO30)),STDEV(AO8:AO30),"-")</f>
        <v>1.2698568582785446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tNlexHu13syUrG4O1tPLS/PdQUVfn7mLA45bdtAw2I4hd8DhNHCM6gvqlaVJQbxqReQLbY1s4sMqsxgNzEUjg==" saltValue="/W0SPh1D7JZJeYebm4dl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ksa5x5qdnFLTitdoo7nJy7L6fZ14WHYH9FyUC/GnrotDNlt1mNuGIjzmMKsrb5aB2yL+z9Dmd7m+C0rqJOa5A==" saltValue="JFGGoDdBiG23nxIjwc6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TTiMck3E1K7J/j9DI4VyoGZtnX13Z0M2a4addCBsNdpQr9Jsrlb2MgFUNpZTtByfowjnd6RQdi6ZHVfZgJmHg==" saltValue="K6/vF/cozF054nEe4aLU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FUENLABRADA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0.17537826685006877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0.12401116176242752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iu/CBUeV76ylqcYyXH21V5X/HGIA4Sih66Vb/D37MlSfDRM6A6+PlOZH5k+QQvSHEYIPbzz2taxoAPS2pRIx4g==" saltValue="3vE21JiSOJCubYJ7oSnc9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z5u5b1qOuvS3ETIvQ/NlN8O3nMuX9ouJ4RGnmXsvOiC62JQvHkYgEvqsZpSBTO+ZqsqXUKcvNBAAga2tFyeFQ==" saltValue="xIORm1dOFDn59QLMRjZb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FUENLABRADA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2463</v>
      </c>
      <c r="D9" s="452">
        <f>IF(ISNUMBER(C9/Datos!BH9),C9/Datos!BH9," - ")</f>
        <v>410.5</v>
      </c>
      <c r="E9" s="451">
        <f>IF(ISNUMBER(IF(J_V="SI",Datos!J9,Datos!J9+Datos!Z9)),IF(J_V="SI",Datos!J9,Datos!J9+Datos!Z9)," - ")</f>
        <v>2639</v>
      </c>
      <c r="F9" s="452">
        <f>IF(ISNUMBER(E9/B9),E9/B9," - ")</f>
        <v>439.83333333333331</v>
      </c>
      <c r="G9" s="451">
        <f>IF(ISNUMBER(IF(J_V="SI",Datos!K9,Datos!K9+Datos!AA9)),IF(J_V="SI",Datos!K9,Datos!K9+Datos!AA9)," - ")</f>
        <v>2647</v>
      </c>
      <c r="H9" s="452">
        <f>IF(ISNUMBER(G9/B9),G9/B9," - ")</f>
        <v>441.16666666666669</v>
      </c>
      <c r="I9" s="451">
        <f>IF(ISNUMBER(IF(J_V="SI",Datos!L9,Datos!L9+Datos!AB9)),IF(J_V="SI",Datos!L9,Datos!L9+Datos!AB9)," - ")</f>
        <v>2760</v>
      </c>
      <c r="J9" s="452">
        <f>IF(ISNUMBER(I9/B9),I9/B9," - ")</f>
        <v>460</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24</v>
      </c>
      <c r="F10" s="452">
        <f>IF(ISNUMBER(E10/B10),E10/B10," - ")</f>
        <v>24</v>
      </c>
      <c r="G10" s="451">
        <f>IF(ISNUMBER(Datos!K10),Datos!K10," - ")</f>
        <v>24</v>
      </c>
      <c r="H10" s="452">
        <f>IF(ISNUMBER(G10/B10),G10/B10," - ")</f>
        <v>24</v>
      </c>
      <c r="I10" s="451">
        <f>IF(ISNUMBER(Datos!L10),Datos!L10," - ")</f>
        <v>36</v>
      </c>
      <c r="J10" s="452">
        <f>IF(ISNUMBER(I10/B10),I10/B10," - ")</f>
        <v>36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232</v>
      </c>
      <c r="D11" s="452">
        <f>IF(ISNUMBER(C11/Datos!BH11),C11/Datos!BH11," - ")</f>
        <v>232</v>
      </c>
      <c r="E11" s="451">
        <f>IF(ISNUMBER(IF(J_V="SI",Datos!J11,Datos!J11+Datos!Z11)),IF(J_V="SI",Datos!J11,Datos!J11+Datos!Z11)," - ")</f>
        <v>285</v>
      </c>
      <c r="F11" s="452">
        <f>IF(ISNUMBER(E11/B11),E11/B11," - ")</f>
        <v>285</v>
      </c>
      <c r="G11" s="451">
        <f>IF(ISNUMBER(IF(J_V="SI",Datos!K11,Datos!K11+Datos!AA11)),IF(J_V="SI",Datos!K11,Datos!K11+Datos!AA11)," - ")</f>
        <v>237</v>
      </c>
      <c r="H11" s="452">
        <f>IF(ISNUMBER(G11/B11),G11/B11," - ")</f>
        <v>237</v>
      </c>
      <c r="I11" s="451">
        <f>IF(ISNUMBER(IF(J_V="SI",Datos!L11,Datos!L11+Datos!AB11)),IF(J_V="SI",Datos!L11,Datos!L11+Datos!AB11)," - ")</f>
        <v>280</v>
      </c>
      <c r="J11" s="452">
        <f>IF(ISNUMBER(I11/B11),I11/B11," - ")</f>
        <v>280</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2731</v>
      </c>
      <c r="D14" s="1147" t="str">
        <f>IF(ISNUMBER(C14/Datos!BI14),C14/Datos!BI14," - ")</f>
        <v xml:space="preserve"> - </v>
      </c>
      <c r="E14" s="1146">
        <f>SUBTOTAL(9,E8:E13)</f>
        <v>2948</v>
      </c>
      <c r="F14" s="1147">
        <f>IF(ISNUMBER(E14/B14),E14/B14," - ")</f>
        <v>368.5</v>
      </c>
      <c r="G14" s="1146">
        <f>SUBTOTAL(9,G8:G13)</f>
        <v>2908</v>
      </c>
      <c r="H14" s="1147">
        <f>IF(ISNUMBER(G14/B14),G14/B14," - ")</f>
        <v>363.5</v>
      </c>
      <c r="I14" s="1146">
        <f>SUBTOTAL(9,I8:I13)</f>
        <v>3076</v>
      </c>
      <c r="J14" s="1147">
        <f>IF(ISNUMBER(I14/B14),I14/B14," - ")</f>
        <v>384.5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6</v>
      </c>
      <c r="C16" s="451">
        <f>IF(ISNUMBER(IF(D_I="SI",Datos!I16,Datos!I16+Datos!AC16)),IF(D_I="SI",Datos!I16,Datos!I16+Datos!AC16)," - ")</f>
        <v>1386</v>
      </c>
      <c r="D16" s="452">
        <f>IF(ISNUMBER(C16/Datos!BH16),C16/Datos!BH16," - ")</f>
        <v>231</v>
      </c>
      <c r="E16" s="451">
        <f>IF(ISNUMBER(IF(D_I="SI",Datos!J16,Datos!J16+Datos!AD16)),IF(D_I="SI",Datos!J16,Datos!J16+Datos!AD16)," - ")</f>
        <v>2159</v>
      </c>
      <c r="F16" s="452">
        <f>IF(ISNUMBER(E16/B16),E16/B16," - ")</f>
        <v>359.83333333333331</v>
      </c>
      <c r="G16" s="451">
        <f>IF(ISNUMBER(IF(D_I="SI",Datos!K16,Datos!K16+Datos!AE16)),IF(D_I="SI",Datos!K16,Datos!K16+Datos!AE16)," - ")</f>
        <v>2340</v>
      </c>
      <c r="H16" s="452">
        <f>IF(ISNUMBER(G16/B16),G16/B16," - ")</f>
        <v>390</v>
      </c>
      <c r="I16" s="451">
        <f>IF(ISNUMBER(IF(D_I="SI",Datos!L16,Datos!L16+Datos!AF16)),IF(D_I="SI",Datos!L16,Datos!L16+Datos!AF16)," - ")</f>
        <v>1276</v>
      </c>
      <c r="J16" s="452">
        <f>IF(ISNUMBER(I16/B16),I16/B16," - ")</f>
        <v>212.66666666666666</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40</v>
      </c>
      <c r="D18" s="452">
        <f>IF(ISNUMBER(C18/Datos!BH18),C18/Datos!BH18," - ")</f>
        <v>40</v>
      </c>
      <c r="E18" s="451">
        <f>IF(ISNUMBER(IF(D_I="SI",Datos!J18,Datos!J18+Datos!AD18)),IF(D_I="SI",Datos!J18,Datos!J18+Datos!AD18)," - ")</f>
        <v>187</v>
      </c>
      <c r="F18" s="452">
        <f>IF(ISNUMBER(E18/B18),E18/B18," - ")</f>
        <v>187</v>
      </c>
      <c r="G18" s="451">
        <f>IF(ISNUMBER(IF(D_I="SI",Datos!K18,Datos!K18+Datos!AE18)),IF(D_I="SI",Datos!K18,Datos!K18+Datos!AE18)," - ")</f>
        <v>178</v>
      </c>
      <c r="H18" s="452">
        <f>IF(ISNUMBER(G18/B18),G18/B18," - ")</f>
        <v>178</v>
      </c>
      <c r="I18" s="451">
        <f>IF(ISNUMBER(IF(D_I="SI",Datos!L18,Datos!L18+Datos!AF18)),IF(D_I="SI",Datos!L18,Datos!L18+Datos!AF18)," - ")</f>
        <v>58</v>
      </c>
      <c r="J18" s="452">
        <f>IF(ISNUMBER(I18/B18),I18/B18," - ")</f>
        <v>58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1426</v>
      </c>
      <c r="D23" s="1147" t="str">
        <f>IF(ISNUMBER(C23/Datos!BI23),C23/Datos!BI23," - ")</f>
        <v xml:space="preserve"> - </v>
      </c>
      <c r="E23" s="1146">
        <f>SUBTOTAL(9,E15:E22)</f>
        <v>2346</v>
      </c>
      <c r="F23" s="1147">
        <f>IF(ISNUMBER(E23/B23),E23/B23," - ")</f>
        <v>335.14285714285717</v>
      </c>
      <c r="G23" s="1146">
        <f>SUBTOTAL(9,G15:G22)</f>
        <v>2518</v>
      </c>
      <c r="H23" s="1147">
        <f>IF(ISNUMBER(G23/B23),G23/B23," - ")</f>
        <v>359.71428571428572</v>
      </c>
      <c r="I23" s="1146">
        <f>SUBTOTAL(9,I15:I22)</f>
        <v>1334</v>
      </c>
      <c r="J23" s="1147">
        <f>IF(ISNUMBER(I23/B23),I23/B23," - ")</f>
        <v>190.57142857142858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4157</v>
      </c>
      <c r="D31" s="1085" t="str">
        <f>IF(ISNUMBER(C31/Datos!BI31),C31/Datos!BI31," - ")</f>
        <v xml:space="preserve"> - </v>
      </c>
      <c r="E31" s="1084">
        <f>SUBTOTAL(9,E9:E30)</f>
        <v>5294</v>
      </c>
      <c r="F31" s="1085">
        <f>IF(ISNUMBER(E31/B31),E31/B31," - ")</f>
        <v>378.14285714285717</v>
      </c>
      <c r="G31" s="1084">
        <f>SUBTOTAL(9,G9:G30)</f>
        <v>5426</v>
      </c>
      <c r="H31" s="1085">
        <f>IF(ISNUMBER(G31/B31),G31/B31," - ")</f>
        <v>387.57142857142856</v>
      </c>
      <c r="I31" s="1084">
        <f>SUBTOTAL(9,I9:I30)</f>
        <v>4410</v>
      </c>
      <c r="J31" s="1085">
        <f>IF(ISNUMBER(I31/B31),I31/B31," - ")</f>
        <v>315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JRLMdnKDnqSc58pwKI8Ueqy3I7nMN//SdtbkQL4hgvT6VR+oD8yiXbv+nYKZb+u8tKphW1MVkmz5Js0gcsang==" saltValue="1FgzPMo3TMzro9OVb8eJ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FUENLABRADA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36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4.5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321</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0</v>
      </c>
      <c r="AE14" s="1257">
        <f t="shared" si="1"/>
        <v>0</v>
      </c>
      <c r="AF14" s="1257">
        <f t="shared" si="1"/>
        <v>36</v>
      </c>
      <c r="AG14" s="1257">
        <f t="shared" si="1"/>
        <v>0</v>
      </c>
      <c r="AH14" s="1257">
        <f t="shared" si="1"/>
        <v>0</v>
      </c>
      <c r="AI14" s="1257">
        <f t="shared" si="1"/>
        <v>0</v>
      </c>
      <c r="AJ14" s="1257">
        <f t="shared" si="1"/>
        <v>0</v>
      </c>
      <c r="AK14" s="1257">
        <f t="shared" si="1"/>
        <v>0</v>
      </c>
      <c r="AL14" s="1257">
        <f t="shared" si="1"/>
        <v>5</v>
      </c>
      <c r="AM14" s="1257">
        <f t="shared" si="1"/>
        <v>17</v>
      </c>
      <c r="AN14" s="1257">
        <f t="shared" si="1"/>
        <v>0</v>
      </c>
      <c r="AO14" s="1257">
        <f t="shared" si="1"/>
        <v>0</v>
      </c>
      <c r="AP14" s="1262">
        <f>IF(ISNUMBER(((Datos!L14/Datos!K14)*11)/factor_trimestre),((Datos!L14/Datos!K14)*11)/factor_trimestre," - ")</f>
        <v>3.293636025307034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-0.66666666666666663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6</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1.5893566322478156</v>
      </c>
      <c r="AQ23" s="1262">
        <f>IF(ISNUMBER(((Datos!M23/Datos!L23)*11)/factor_trimestre),((Datos!M23/Datos!L23)*11)/factor_trimestre," - ")</f>
        <v>0.70164917541229388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-2.2026431718061676E-3</v>
      </c>
      <c r="AW23" s="1265">
        <f>IF(ISNUMBER((Datos!Q23-Datos!R23)/(Datos!S23-Datos!Q23+Datos!R23)),(Datos!Q23-Datos!R23)/(Datos!S23-Datos!Q23+Datos!R23)," - ")</f>
        <v>-0.13387165320866978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0</v>
      </c>
      <c r="AE31" s="1284">
        <f t="shared" si="9"/>
        <v>0</v>
      </c>
      <c r="AF31" s="1285">
        <f t="shared" si="9"/>
        <v>36</v>
      </c>
      <c r="AG31" s="1285">
        <f t="shared" si="9"/>
        <v>0</v>
      </c>
      <c r="AH31" s="1285">
        <f t="shared" si="9"/>
        <v>0</v>
      </c>
      <c r="AI31" s="1285">
        <f t="shared" si="9"/>
        <v>0</v>
      </c>
      <c r="AJ31" s="1286">
        <f t="shared" si="9"/>
        <v>0</v>
      </c>
      <c r="AK31" s="1286">
        <f t="shared" si="9"/>
        <v>0</v>
      </c>
      <c r="AL31" s="1278">
        <f t="shared" si="9"/>
        <v>5</v>
      </c>
      <c r="AM31" s="1278">
        <f t="shared" si="9"/>
        <v>17</v>
      </c>
      <c r="AN31" s="1278">
        <f t="shared" si="9"/>
        <v>0</v>
      </c>
      <c r="AO31" s="1278">
        <f t="shared" si="9"/>
        <v>0</v>
      </c>
      <c r="AP31" s="1278">
        <f>IF(ISNUMBER(((Datos!L31/Datos!K31)*11)/factor_trimestre),((Datos!L31/Datos!K31)*11)/factor_trimestre," - ")</f>
        <v>2.4691642651296832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-0.66666666666666663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1.2372013651877133E-2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3.0322342331100418</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2.7386127875258306</v>
      </c>
      <c r="AM33" s="1006"/>
      <c r="AN33" s="1006">
        <f>IF(ISNUMBER(STDEV(AN8:AN30)),STDEV(AN8:AN30),"-")</f>
        <v>0</v>
      </c>
      <c r="AO33" s="1012">
        <f>IF(ISNUMBER(STDEV(AO8:AO30)),STDEV(AO8:AO30),"-")</f>
        <v>0</v>
      </c>
      <c r="AP33" s="1065">
        <f>IF(ISNUMBER(STDEV(AP8:AP30)),STDEV(AP8:AP30),"-")</f>
        <v>1.4624025382501615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Bb33i8XlIbI+HZXbpLZbigkRFoKXKW98AvYw4fxi2egEuchGsvwFM22/mnqZxxti6lFHlgr0/ZN+Ue2C+H8KQ==" saltValue="P4d8wKpwQJtz4wtGsPp9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280</v>
      </c>
      <c r="B3" s="439" t="str">
        <f>Criterios!A10 &amp;"  "&amp;Criterios!B10</f>
        <v>Provincias  MADRID</v>
      </c>
      <c r="C3" s="463"/>
      <c r="F3" s="436"/>
      <c r="G3" s="436"/>
      <c r="H3" s="436"/>
    </row>
    <row r="4" spans="1:15" ht="13.5" thickBot="1">
      <c r="A4" s="436"/>
      <c r="B4" s="439" t="str">
        <f>Criterios!A11 &amp;"  "&amp;Criterios!B11</f>
        <v>Resumenes por Partidos Judiciales  FUENLABRADA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6</v>
      </c>
      <c r="D16" s="451">
        <f>Datos!BK16</f>
        <v>0</v>
      </c>
      <c r="E16" s="451">
        <f>Datos!AQ16</f>
        <v>6</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epL/jcePjwEAjZZ5ty+A8Y8XzD2IQE2BYfrMhDPn6VKCak3tsRva8zstiBD4P2mub1Ig3tQSbwOR6jpNoNpGBQ==" saltValue="F6KXVKp2LMoZ++Bdeb1a0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FUENLABRADA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409</v>
      </c>
      <c r="E9" s="452">
        <f t="shared" ref="E9:E14" si="0">IF(ISNUMBER(D9/B9),D9/B9," - ")</f>
        <v>68.166666666666671</v>
      </c>
      <c r="F9" s="451">
        <f>IF(ISNUMBER(Datos!N9),Datos!N9," - ")</f>
        <v>1209</v>
      </c>
      <c r="G9" s="452">
        <f t="shared" ref="G9:G14" si="1">IF(ISNUMBER(F9/B9),F9/B9," - ")</f>
        <v>201.5</v>
      </c>
      <c r="H9" s="451">
        <f>IF(ISNUMBER(Datos!O9),Datos!O9," - ")</f>
        <v>1302</v>
      </c>
      <c r="I9" s="452">
        <f>IF(ISNUMBER(H9/B9),H9/B9," - ")</f>
        <v>217</v>
      </c>
    </row>
    <row r="10" spans="1:9">
      <c r="A10" s="450" t="str">
        <f>Datos!A10</f>
        <v>Jdos. Violencia contra la mujer</v>
      </c>
      <c r="B10" s="480">
        <f>Datos!AO10</f>
        <v>1</v>
      </c>
      <c r="C10" s="458">
        <f>Datos!AQ10</f>
        <v>1</v>
      </c>
      <c r="D10" s="451">
        <f>IF(ISNUMBER(Datos!M10),Datos!M10," - ")</f>
        <v>5</v>
      </c>
      <c r="E10" s="452">
        <f>IF(ISNUMBER(D10/B10),D10/B10," - ")</f>
        <v>5</v>
      </c>
      <c r="F10" s="451">
        <f>IF(ISNUMBER(Datos!N10),Datos!N10," - ")</f>
        <v>17</v>
      </c>
      <c r="G10" s="452">
        <f>IF(ISNUMBER(F10/B10),F10/B10," - ")</f>
        <v>17</v>
      </c>
      <c r="H10" s="451">
        <f>IF(ISNUMBER(Datos!O10),Datos!O10," - ")</f>
        <v>5</v>
      </c>
      <c r="I10" s="452">
        <f t="shared" ref="I10:I13" si="2">IF(ISNUMBER(H10/B10),H10/B10," - ")</f>
        <v>5</v>
      </c>
    </row>
    <row r="11" spans="1:9">
      <c r="A11" s="450" t="str">
        <f>Datos!A11</f>
        <v xml:space="preserve">Jdos. Familia                                   </v>
      </c>
      <c r="B11" s="480">
        <f>Datos!AO11</f>
        <v>1</v>
      </c>
      <c r="C11" s="458">
        <f>Datos!AQ11</f>
        <v>1</v>
      </c>
      <c r="D11" s="451">
        <f>IF(ISNUMBER(Datos!M11),Datos!M11," - ")</f>
        <v>96</v>
      </c>
      <c r="E11" s="452">
        <f t="shared" si="0"/>
        <v>96</v>
      </c>
      <c r="F11" s="451">
        <f>IF(ISNUMBER(Datos!N11),Datos!N11," - ")</f>
        <v>110</v>
      </c>
      <c r="G11" s="452">
        <f t="shared" si="1"/>
        <v>110</v>
      </c>
      <c r="H11" s="451">
        <f>IF(ISNUMBER(Datos!O11),Datos!O11," - ")</f>
        <v>43</v>
      </c>
      <c r="I11" s="452">
        <f t="shared" si="2"/>
        <v>43</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510</v>
      </c>
      <c r="E14" s="1147">
        <f t="shared" si="0"/>
        <v>63.75</v>
      </c>
      <c r="F14" s="1146">
        <f>SUBTOTAL(9,F9:F13)</f>
        <v>1336</v>
      </c>
      <c r="G14" s="1147">
        <f t="shared" si="1"/>
        <v>167</v>
      </c>
      <c r="H14" s="1146">
        <f>SUBTOTAL(9,H9:H13)</f>
        <v>1350</v>
      </c>
      <c r="I14" s="1147">
        <f>IF(ISNUMBER(H14/B14),H14/B14," - ")</f>
        <v>168.75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6</v>
      </c>
      <c r="C16" s="481">
        <f>Datos!AQ16</f>
        <v>6</v>
      </c>
      <c r="D16" s="451">
        <f>IF(ISNUMBER(Datos!M16),Datos!M16," - ")</f>
        <v>306</v>
      </c>
      <c r="E16" s="452">
        <f t="shared" ref="E16:E23" si="3">IF(ISNUMBER(D16/B16),D16/B16," - ")</f>
        <v>51</v>
      </c>
      <c r="F16" s="451">
        <f>IF(ISNUMBER(Datos!N16),Datos!N16," - ")</f>
        <v>1466</v>
      </c>
      <c r="G16" s="452">
        <f t="shared" ref="G16:G23" si="4">IF(ISNUMBER(F16/B16),F16/B16," - ")</f>
        <v>244.33333333333334</v>
      </c>
      <c r="H16" s="451">
        <f>IF(ISNUMBER(Datos!O16),Datos!O16," - ")</f>
        <v>48</v>
      </c>
      <c r="I16" s="452">
        <f t="shared" ref="I16:I22" si="5">IF(ISNUMBER(H16/B16),H16/B16," - ")</f>
        <v>8</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v>
      </c>
      <c r="E18" s="452">
        <f>IF(ISNUMBER(D18/B18),D18/B18," - ")</f>
        <v>6</v>
      </c>
      <c r="F18" s="451">
        <f>IF(ISNUMBER(Datos!N18),Datos!N18," - ")</f>
        <v>88</v>
      </c>
      <c r="G18" s="452">
        <f>IF(ISNUMBER(F18/B18),F18/B18," - ")</f>
        <v>88</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7</v>
      </c>
      <c r="D23" s="1146">
        <f>SUBTOTAL(9,D16:D22)</f>
        <v>312</v>
      </c>
      <c r="E23" s="1147">
        <f t="shared" si="3"/>
        <v>44.571428571428569</v>
      </c>
      <c r="F23" s="1146">
        <f>SUBTOTAL(9,F16:F22)</f>
        <v>1554</v>
      </c>
      <c r="G23" s="1147">
        <f t="shared" si="4"/>
        <v>222</v>
      </c>
      <c r="H23" s="1146">
        <f>SUBTOTAL(9,H16:H22)</f>
        <v>50</v>
      </c>
      <c r="I23" s="1147">
        <f>IF(ISNUMBER(H23/B23),H23/B23," - ")</f>
        <v>7.1428571428571432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822</v>
      </c>
      <c r="E31" s="1085">
        <f>IF(ISNUMBER(D31/B31),D31/B31," - ")</f>
        <v>58.714285714285715</v>
      </c>
      <c r="F31" s="1084">
        <f>SUBTOTAL(9,F8:F30)</f>
        <v>2890</v>
      </c>
      <c r="G31" s="1085">
        <f>IF(ISNUMBER(F31/B31),F31/B31," - ")</f>
        <v>206.42857142857142</v>
      </c>
      <c r="H31" s="1084">
        <f>SUBTOTAL(9,H8:H30)</f>
        <v>1400</v>
      </c>
      <c r="I31" s="1085">
        <f>IF(ISNUMBER(H31/B31),H31/B31," - ")</f>
        <v>100</v>
      </c>
    </row>
    <row r="34" spans="1:1">
      <c r="A34" s="439" t="str">
        <f>Criterios!A4</f>
        <v>Fecha Informe: 05 may. 2023</v>
      </c>
    </row>
    <row r="39" spans="1:1">
      <c r="A39" s="462"/>
    </row>
  </sheetData>
  <sheetProtection algorithmName="SHA-512" hashValue="18IITScEW0VkPU1Vv5R/Emj9y1e4AC8MZJ60856siKX1j89WaS6qwisBh7yNI5gaiVRmi4ymhPI6I+2Ez1B16w==" saltValue="LdtGovijqGvyjZPixi9e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FUENLABRADA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687</v>
      </c>
      <c r="C9" s="489">
        <f>IF(ISNUMBER(Datos!Q9),Datos!Q9," - ")</f>
        <v>585</v>
      </c>
      <c r="D9" s="456">
        <f>IF(ISNUMBER(Datos!R9),Datos!R9," - ")</f>
        <v>8830</v>
      </c>
    </row>
    <row r="10" spans="1:4">
      <c r="A10" s="450" t="str">
        <f>Datos!A10</f>
        <v>Jdos. Violencia contra la mujer</v>
      </c>
      <c r="B10" s="488">
        <f>IF(ISNUMBER(Datos!P10),Datos!P10," - ")</f>
        <v>8</v>
      </c>
      <c r="C10" s="489">
        <f>IF(ISNUMBER(Datos!Q10),Datos!Q10," - ")</f>
        <v>4</v>
      </c>
      <c r="D10" s="456">
        <f>IF(ISNUMBER(Datos!R10),Datos!R10," - ")</f>
        <v>66</v>
      </c>
    </row>
    <row r="11" spans="1:4">
      <c r="A11" s="450" t="str">
        <f>Datos!A11</f>
        <v xml:space="preserve">Jdos. Familia                                   </v>
      </c>
      <c r="B11" s="488">
        <f>IF(ISNUMBER(Datos!P11),Datos!P11," - ")</f>
        <v>30</v>
      </c>
      <c r="C11" s="489">
        <f>IF(ISNUMBER(Datos!Q11),Datos!Q11," - ")</f>
        <v>19</v>
      </c>
      <c r="D11" s="456">
        <f>IF(ISNUMBER(Datos!R11),Datos!R11," - ")</f>
        <v>143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725</v>
      </c>
      <c r="C14" s="1150">
        <f>SUBTOTAL(9,C9:C13)</f>
        <v>608</v>
      </c>
      <c r="D14" s="1148">
        <f>SUBTOTAL(9,D9:D13)</f>
        <v>9039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136</v>
      </c>
      <c r="C16" s="489">
        <f>IF(ISNUMBER(Datos!Q16),Datos!Q16," - ")</f>
        <v>135</v>
      </c>
      <c r="D16" s="456">
        <f>IF(ISNUMBER(Datos!R16),Datos!R16," - ")</f>
        <v>449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3</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137</v>
      </c>
      <c r="C23" s="1150">
        <f>SUBTOTAL(9,C16:C22)</f>
        <v>138</v>
      </c>
      <c r="D23" s="1148">
        <f>SUBTOTAL(9,D16:D22)</f>
        <v>453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862</v>
      </c>
      <c r="C31" s="1089">
        <f>SUBTOTAL(9,C8:C30)</f>
        <v>746</v>
      </c>
      <c r="D31" s="1090">
        <f>SUBTOTAL(9,D8:D30)</f>
        <v>9492</v>
      </c>
    </row>
    <row r="32" spans="1:4" ht="7.5" customHeight="1"/>
    <row r="33" spans="1:1" ht="6" customHeight="1"/>
    <row r="34" spans="1:1">
      <c r="A34" s="439" t="str">
        <f>Criterios!A4</f>
        <v>Fecha Informe: 05 may. 2023</v>
      </c>
    </row>
    <row r="39" spans="1:1">
      <c r="A39" s="462"/>
    </row>
  </sheetData>
  <sheetProtection algorithmName="SHA-512" hashValue="g+lB6zAGNGw0X2VEN/7uef/ipjsJexRJoJ/bZt18TznQ6nLX1qkBQxqRXbCNY4yccgfEBBTwTH3nzmfmVQv8Qw==" saltValue="CfQpJQoRnZGXFSnHimFc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FUENLABRADA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-3.2220039292730845E-2</v>
      </c>
      <c r="C9" s="515">
        <f>IF(ISNUMBER(
   IF(J_V="SI",(Datos!J9-Datos!T9)/Datos!T9,(Datos!J9+Datos!Z9-(Datos!T9+Datos!AH9))/(Datos!T9+Datos!AH9))
     ),IF(J_V="SI",(Datos!J9-Datos!T9)/Datos!T9,(Datos!J9+Datos!Z9-(Datos!T9+Datos!AH9))/(Datos!T9+Datos!AH9))," - ")</f>
        <v>0.14291901255954959</v>
      </c>
      <c r="D9" s="515">
        <f>IF(ISNUMBER(
   IF(J_V="SI",(Datos!K9-Datos!U9)/Datos!U9,(Datos!K9+Datos!AA9-(Datos!U9+Datos!AI9))/(Datos!U9+Datos!AI9))
     ),IF(J_V="SI",(Datos!K9-Datos!U9)/Datos!U9,(Datos!K9+Datos!AA9-(Datos!U9+Datos!AI9))/(Datos!U9+Datos!AI9))," - ")</f>
        <v>0.13361884368308352</v>
      </c>
      <c r="E9" s="515">
        <f>IF(ISNUMBER(
   IF(J_V="SI",(Datos!L9-Datos!V9)/Datos!V9,(Datos!L9+Datos!AB9-(Datos!V9+Datos!AJ9))/(Datos!V9+Datos!AJ9))
     ),IF(J_V="SI",(Datos!L9-Datos!V9)/Datos!V9,(Datos!L9+Datos!AB9-(Datos!V9+Datos!AJ9))/(Datos!V9+Datos!AJ9))," - ")</f>
        <v>8.6186540731995276E-2</v>
      </c>
      <c r="F9" s="515">
        <f>IF(ISNUMBER((Datos!M9-Datos!W9)/Datos!W9),(Datos!M9-Datos!W9)/Datos!W9," - ")</f>
        <v>8.7765957446808512E-2</v>
      </c>
      <c r="G9" s="516">
        <f>IF(ISNUMBER((Datos!N9-Datos!X9)/Datos!X9),(Datos!N9-Datos!X9)/Datos!X9," - ")</f>
        <v>-0.11298606016140866</v>
      </c>
      <c r="H9" s="514">
        <f>IF(ISNUMBER(((NºAsuntos!G9/NºAsuntos!E9)-Datos!BD9)/Datos!BD9),((NºAsuntos!G9/NºAsuntos!E9)-Datos!BD9)/Datos!BD9," - ")</f>
        <v>-8.1372072511406764E-3</v>
      </c>
      <c r="I9" s="515">
        <f>IF(ISNUMBER(((NºAsuntos!I9/NºAsuntos!G9)-Datos!BE9)/Datos!BE9),((NºAsuntos!I9/NºAsuntos!G9)-Datos!BE9)/Datos!BE9," - ")</f>
        <v>-4.184149126966042E-2</v>
      </c>
      <c r="J9" s="521">
        <f>IF(ISNUMBER((('Resol  Asuntos'!D9/NºAsuntos!G9)-Datos!BF9)/Datos!BF9),(('Resol  Asuntos'!D9/NºAsuntos!G9)-Datos!BF9)/Datos!BF9," - ")</f>
        <v>-0.73529606600697761</v>
      </c>
      <c r="K9" s="522">
        <f>IF(ISNUMBER((((NºAsuntos!C9+NºAsuntos!E9)/NºAsuntos!G9)-Datos!BG9)/Datos!BG9),(((NºAsuntos!C9+NºAsuntos!E9)/NºAsuntos!G9)-Datos!BG9)/Datos!BG9," - ")</f>
        <v>-7.279956676782999E-2</v>
      </c>
    </row>
    <row r="10" spans="1:11">
      <c r="A10" s="450" t="str">
        <f>Datos!A10</f>
        <v>Jdos. Violencia contra la mujer</v>
      </c>
      <c r="B10" s="514">
        <f>IF(ISNUMBER((Datos!I10-Datos!S10)/Datos!S10),(Datos!I10-Datos!S10)/Datos!S10," - ")</f>
        <v>-0.47826086956521741</v>
      </c>
      <c r="C10" s="515">
        <f>IF(ISNUMBER((Datos!J10-Datos!T10)/Datos!T10),(Datos!J10-Datos!T10)/Datos!T10," - ")</f>
        <v>4.3478260869565216E-2</v>
      </c>
      <c r="D10" s="515">
        <f>IF(ISNUMBER((Datos!K10-Datos!U10)/Datos!U10),(Datos!K10-Datos!U10)/Datos!U10," - ")</f>
        <v>-0.35135135135135137</v>
      </c>
      <c r="E10" s="515">
        <f>IF(ISNUMBER((Datos!L10-Datos!V10)/Datos!V10),(Datos!L10-Datos!V10)/Datos!V10," - ")</f>
        <v>-0.34545454545454546</v>
      </c>
      <c r="F10" s="515">
        <f>IF(ISNUMBER((Datos!M10-Datos!W10)/Datos!W10),(Datos!M10-Datos!W10)/Datos!W10," - ")</f>
        <v>-0.66666666666666663</v>
      </c>
      <c r="G10" s="516">
        <f>IF(ISNUMBER((Datos!N10-Datos!X10)/Datos!X10),(Datos!N10-Datos!X10)/Datos!X10," - ")</f>
        <v>1.4285714285714286</v>
      </c>
      <c r="H10" s="514">
        <f>IF(ISNUMBER(((NºAsuntos!G10/NºAsuntos!E10)-Datos!BD10)/Datos!BD10),((NºAsuntos!G10/NºAsuntos!E10)-Datos!BD10)/Datos!BD10," - ")</f>
        <v>-0.3783783783783784</v>
      </c>
      <c r="I10" s="515">
        <f>IF(ISNUMBER(((NºAsuntos!I10/NºAsuntos!G10)-Datos!BE10)/Datos!BE10),((NºAsuntos!I10/NºAsuntos!G10)-Datos!BE10)/Datos!BE10," - ")</f>
        <v>9.0909090909091477E-3</v>
      </c>
      <c r="J10" s="521">
        <f>IF(ISNUMBER((('Resol  Asuntos'!D10/NºAsuntos!G10)-Datos!BF10)/Datos!BF10),(('Resol  Asuntos'!D10/NºAsuntos!G10)-Datos!BF10)/Datos!BF10," - ")</f>
        <v>-0.4861111111111111</v>
      </c>
      <c r="K10" s="522">
        <f>IF(ISNUMBER((((NºAsuntos!C10+NºAsuntos!E10)/NºAsuntos!G10)-Datos!BG10)/Datos!BG10),(((NºAsuntos!C10+NºAsuntos!E10)/NºAsuntos!G10)-Datos!BG10)/Datos!BG10," - ")</f>
        <v>5.4347826086956859E-3</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-0.28173374613003094</v>
      </c>
      <c r="C11" s="515">
        <f>IF(ISNUMBER(
   IF(J_V="SI",(Datos!J11-Datos!T11)/Datos!T11,(Datos!J11+Datos!Z11-(Datos!T11+Datos!AH11))/(Datos!T11+Datos!AH11))
     ),IF(J_V="SI",(Datos!J11-Datos!T11)/Datos!T11,(Datos!J11+Datos!Z11-(Datos!T11+Datos!AH11))/(Datos!T11+Datos!AH11))," - ")</f>
        <v>0.16803278688524589</v>
      </c>
      <c r="D11" s="515">
        <f>IF(ISNUMBER(
   IF(J_V="SI",(Datos!K11-Datos!U11)/Datos!U11,(Datos!K11+Datos!AA11-(Datos!U11+Datos!AI11))/(Datos!U11+Datos!AI11))
     ),IF(J_V="SI",(Datos!K11-Datos!U11)/Datos!U11,(Datos!K11+Datos!AA11-(Datos!U11+Datos!AI11))/(Datos!U11+Datos!AI11))," - ")</f>
        <v>-0.16549295774647887</v>
      </c>
      <c r="E11" s="515">
        <f>IF(ISNUMBER(
   IF(J_V="SI",(Datos!L11-Datos!V11)/Datos!V11,(Datos!L11+Datos!AB11-(Datos!V11+Datos!AJ11))/(Datos!V11+Datos!AJ11))
     ),IF(J_V="SI",(Datos!L11-Datos!V11)/Datos!V11,(Datos!L11+Datos!AB11-(Datos!V11+Datos!AJ11))/(Datos!V11+Datos!AJ11))," - ")</f>
        <v>-1.0600706713780919E-2</v>
      </c>
      <c r="F11" s="515">
        <f>IF(ISNUMBER((Datos!M11-Datos!W11)/Datos!W11),(Datos!M11-Datos!W11)/Datos!W11," - ")</f>
        <v>-0.24409448818897639</v>
      </c>
      <c r="G11" s="516">
        <f>IF(ISNUMBER((Datos!N11-Datos!X11)/Datos!X11),(Datos!N11-Datos!X11)/Datos!X11," - ")</f>
        <v>0.12244897959183673</v>
      </c>
      <c r="H11" s="514">
        <f>IF(ISNUMBER(((NºAsuntos!G11/NºAsuntos!E11)-Datos!BD11)/Datos!BD11),((NºAsuntos!G11/NºAsuntos!E11)-Datos!BD11)/Datos!BD11," - ")</f>
        <v>-0.28554484803558189</v>
      </c>
      <c r="I11" s="515">
        <f>IF(ISNUMBER(((NºAsuntos!I11/NºAsuntos!G11)-Datos!BE11)/Datos!BE11),((NºAsuntos!I11/NºAsuntos!G11)-Datos!BE11)/Datos!BE11," - ")</f>
        <v>0.18560927971850724</v>
      </c>
      <c r="J11" s="521">
        <f>IF(ISNUMBER((('Resol  Asuntos'!D11/NºAsuntos!G11)-Datos!BF11)/Datos!BF11),(('Resol  Asuntos'!D11/NºAsuntos!G11)-Datos!BF11)/Datos!BF11," - ")</f>
        <v>0.17385688452596232</v>
      </c>
      <c r="K11" s="522">
        <f>IF(ISNUMBER((((NºAsuntos!C11+NºAsuntos!E11)/NºAsuntos!G11)-Datos!BG11)/Datos!BG11),(((NºAsuntos!C11+NºAsuntos!E11)/NºAsuntos!G11)-Datos!BG11)/Datos!BG11," - ")</f>
        <v>9.2640963245745195E-2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-7.0139598229485872E-2</v>
      </c>
      <c r="C14" s="1152">
        <f>IF(ISNUMBER(
   IF(J_V="SI",(Datos!J14-Datos!T14)/Datos!T14,(Datos!J14+Datos!Z14-(Datos!T14+Datos!AH14))/(Datos!T14+Datos!AH14))
     ),IF(J_V="SI",(Datos!J14-Datos!T14)/Datos!T14,(Datos!J14+Datos!Z14-(Datos!T14+Datos!AH14))/(Datos!T14+Datos!AH14))," - ")</f>
        <v>0.14440993788819875</v>
      </c>
      <c r="D14" s="1152">
        <f>IF(ISNUMBER(
   IF(J_V="SI",(Datos!K14-Datos!U14)/Datos!U14,(Datos!K14+Datos!AA14-(Datos!U14+Datos!AI14))/(Datos!U14+Datos!AI14))
     ),IF(J_V="SI",(Datos!K14-Datos!U14)/Datos!U14,(Datos!K14+Datos!AA14-(Datos!U14+Datos!AI14))/(Datos!U14+Datos!AI14))," - ")</f>
        <v>9.4879518072289157E-2</v>
      </c>
      <c r="E14" s="1152">
        <f>IF(ISNUMBER(
   IF(J_V="SI",(Datos!L14-Datos!V14)/Datos!V14,(Datos!L14+Datos!AB14-(Datos!V14+Datos!AJ14))/(Datos!V14+Datos!AJ14))
     ),IF(J_V="SI",(Datos!L14-Datos!V14)/Datos!V14,(Datos!L14+Datos!AB14-(Datos!V14+Datos!AJ14))/(Datos!V14+Datos!AJ14))," - ")</f>
        <v>6.8426536992011108E-2</v>
      </c>
      <c r="F14" s="1153">
        <f>IF(ISNUMBER((Datos!M14-Datos!W14)/Datos!W14),(Datos!M14-Datos!W14)/Datos!W14," - ")</f>
        <v>-1.5444015444015444E-2</v>
      </c>
      <c r="G14" s="1154">
        <f>IF(ISNUMBER((Datos!N14-Datos!X14)/Datos!X14),(Datos!N14-Datos!X14)/Datos!X14," - ")</f>
        <v>-8.9918256130790186E-2</v>
      </c>
      <c r="H14" s="1154">
        <f>IF(ISNUMBER(((NºAsuntos!G14/NºAsuntos!E14)-Datos!BD14)/Datos!BD14),((NºAsuntos!G14/NºAsuntos!E14)-Datos!BD14)/Datos!BD14," - ")</f>
        <v>-4.3280312566412189E-2</v>
      </c>
      <c r="I14" s="1154">
        <f>IF(ISNUMBER(((NºAsuntos!I14/NºAsuntos!G14)-Datos!BE14)/Datos!BE14),((NºAsuntos!I14/NºAsuntos!G14)-Datos!BE14)/Datos!BE14," - ")</f>
        <v>-2.4160631963279996E-2</v>
      </c>
      <c r="J14" s="1154">
        <f>IF(ISNUMBER((('Resol  Asuntos'!D14/NºAsuntos!G14)-Datos!BF14)/Datos!BF14),(('Resol  Asuntos'!D14/NºAsuntos!G14)-Datos!BF14)/Datos!BF14," - ")</f>
        <v>-0.68441417564106877</v>
      </c>
      <c r="K14" s="1154">
        <f>IF(ISNUMBER((((NºAsuntos!C14+NºAsuntos!E14)/NºAsuntos!G14)-Datos!BG14)/Datos!BG14),(((NºAsuntos!C14+NºAsuntos!E14)/NºAsuntos!G14)-Datos!BG14)/Datos!BG14," - ")</f>
        <v>-5.9156162338312099E-2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-0.26198083067092653</v>
      </c>
      <c r="C16" s="515">
        <f>IF(ISNUMBER(
   IF(D_I="SI",(Datos!J16-Datos!T16)/Datos!T16,(Datos!J16+Datos!AD16-(Datos!T16+Datos!AL16))/(Datos!T16+Datos!AL16))
     ),IF(D_I="SI",(Datos!J16-Datos!T16)/Datos!T16,(Datos!J16+Datos!AD16-(Datos!T16+Datos!AL16))/(Datos!T16+Datos!AL16))," - ")</f>
        <v>-2.7713625866050808E-3</v>
      </c>
      <c r="D16" s="515">
        <f>IF(ISNUMBER(
   IF(D_I="SI",(Datos!K16-Datos!U16)/Datos!U16,(Datos!K16+Datos!AE16-(Datos!U16+Datos!AM16))/(Datos!U16+Datos!AM16))
     ),IF(D_I="SI",(Datos!K16-Datos!U16)/Datos!U16,(Datos!K16+Datos!AE16-(Datos!U16+Datos!AM16))/(Datos!U16+Datos!AM16))," - ")</f>
        <v>-5.0709939148073022E-2</v>
      </c>
      <c r="E16" s="515">
        <f>IF(ISNUMBER(
   IF(D_I="SI",(Datos!L16-Datos!V16)/Datos!V16,(Datos!L16+Datos!AF16-(Datos!V16+Datos!AN16))/(Datos!V16+Datos!AN16))
     ),IF(D_I="SI",(Datos!L16-Datos!V16)/Datos!V16,(Datos!L16+Datos!AF16-(Datos!V16+Datos!AN16))/(Datos!V16+Datos!AN16))," - ")</f>
        <v>-0.15272244355909695</v>
      </c>
      <c r="F16" s="515">
        <f>IF(ISNUMBER((Datos!M16-Datos!W16)/Datos!W16),(Datos!M16-Datos!W16)/Datos!W16," - ")</f>
        <v>6.6202090592334492E-2</v>
      </c>
      <c r="G16" s="516">
        <f>IF(ISNUMBER((Datos!N16-Datos!X16)/Datos!X16),(Datos!N16-Datos!X16)/Datos!X16," - ")</f>
        <v>-5.6020605280103025E-2</v>
      </c>
      <c r="H16" s="514">
        <f>IF(ISNUMBER(((NºAsuntos!G16/NºAsuntos!E16)-Datos!BD16)/Datos!BD16),((NºAsuntos!G16/NºAsuntos!E16)-Datos!BD16)/Datos!BD16," - ")</f>
        <v>-4.8071800952097413E-2</v>
      </c>
      <c r="I16" s="515">
        <f>IF(ISNUMBER(((NºAsuntos!I16/NºAsuntos!G16)-Datos!BE16)/Datos!BE16),((NºAsuntos!I16/NºAsuntos!G16)-Datos!BE16)/Datos!BE16," - ")</f>
        <v>-0.10746189033041634</v>
      </c>
      <c r="J16" s="521">
        <f>IF(ISNUMBER((('Resol  Asuntos'!D16/NºAsuntos!G16)-Datos!BF16)/Datos!BF16),(('Resol  Asuntos'!D16/NºAsuntos!G16)-Datos!BF16)/Datos!BF16," - ")</f>
        <v>0.12315733047440372</v>
      </c>
      <c r="K16" s="522">
        <f>IF(ISNUMBER((((NºAsuntos!C16+NºAsuntos!E16)/NºAsuntos!G16)-Datos!BG16)/Datos!BG16),(((NºAsuntos!C16+NºAsuntos!E16)/NºAsuntos!G16)-Datos!BG16)/Datos!BG16," - ")</f>
        <v>-7.6336963116582196E-2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-0.75</v>
      </c>
      <c r="C18" s="515">
        <f>IF(ISNUMBER(
   IF(D_I="SI",(Datos!J18-Datos!T18)/Datos!T18,(Datos!J18+Datos!AD18-(Datos!T18+Datos!AL18))/(Datos!T18+Datos!AL18))
     ),IF(D_I="SI",(Datos!J18-Datos!T18)/Datos!T18,(Datos!J18+Datos!AD18-(Datos!T18+Datos!AL18))/(Datos!T18+Datos!AL18))," - ")</f>
        <v>-2.0942408376963352E-2</v>
      </c>
      <c r="D18" s="515">
        <f>IF(ISNUMBER(
   IF(D_I="SI",(Datos!K18-Datos!U18)/Datos!U18,(Datos!K18+Datos!AE18-(Datos!U18+Datos!AM18))/(Datos!U18+Datos!AM18))
     ),IF(D_I="SI",(Datos!K18-Datos!U18)/Datos!U18,(Datos!K18+Datos!AE18-(Datos!U18+Datos!AM18))/(Datos!U18+Datos!AM18))," - ")</f>
        <v>-0.16037735849056603</v>
      </c>
      <c r="E18" s="515">
        <f>IF(ISNUMBER(
   IF(D_I="SI",(Datos!L18-Datos!V18)/Datos!V18,(Datos!L18+Datos!AF18-(Datos!V18+Datos!AN18))/(Datos!V18+Datos!AN18))
     ),IF(D_I="SI",(Datos!L18-Datos!V18)/Datos!V18,(Datos!L18+Datos!AF18-(Datos!V18+Datos!AN18))/(Datos!V18+Datos!AN18))," - ")</f>
        <v>-0.58571428571428574</v>
      </c>
      <c r="F18" s="515">
        <f>IF(ISNUMBER((Datos!M18-Datos!W18)/Datos!W18),(Datos!M18-Datos!W18)/Datos!W18," - ")</f>
        <v>-0.33333333333333331</v>
      </c>
      <c r="G18" s="516">
        <f>IF(ISNUMBER((Datos!N18-Datos!X18)/Datos!X18),(Datos!N18-Datos!X18)/Datos!X18," - ")</f>
        <v>-0.1111111111111111</v>
      </c>
      <c r="H18" s="514">
        <f>IF(ISNUMBER(((NºAsuntos!G18/NºAsuntos!E18)-Datos!BD18)/Datos!BD18),((NºAsuntos!G18/NºAsuntos!E18)-Datos!BD18)/Datos!BD18," - ")</f>
        <v>-0.14241751589143378</v>
      </c>
      <c r="I18" s="515">
        <f>IF(ISNUMBER(((NºAsuntos!I18/NºAsuntos!G18)-Datos!BE18)/Datos!BE18),((NºAsuntos!I18/NºAsuntos!G18)-Datos!BE18)/Datos!BE18," - ")</f>
        <v>-0.50658105939004805</v>
      </c>
      <c r="J18" s="521">
        <f>IF(ISNUMBER((('Resol  Asuntos'!D18/NºAsuntos!G18)-Datos!BF18)/Datos!BF18),(('Resol  Asuntos'!D18/NºAsuntos!G18)-Datos!BF18)/Datos!BF18," - ")</f>
        <v>-0.20599250936329586</v>
      </c>
      <c r="K18" s="522">
        <f>IF(ISNUMBER((((NºAsuntos!C18+NºAsuntos!E18)/NºAsuntos!G18)-Datos!BG18)/Datos!BG18),(((NºAsuntos!C18+NºAsuntos!E18)/NºAsuntos!G18)-Datos!BG18)/Datos!BG18," - ")</f>
        <v>-0.22974487019430848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-0.30029440628066734</v>
      </c>
      <c r="C23" s="1152">
        <f>IF(ISNUMBER(
   IF(Criterios!B14="SI",(Datos!J23-Datos!T23)/Datos!T23,(Datos!J23+Datos!AD23-(Datos!T23+Datos!AL23))/(Datos!T23+Datos!AL23))
     ),IF(Criterios!B14="SI",(Datos!J23-Datos!T23)/Datos!T23,(Datos!J23+Datos!AD23-(Datos!T23+Datos!AL23))/(Datos!T23+Datos!AL23))," - ")</f>
        <v>-4.2444821731748728E-3</v>
      </c>
      <c r="D23" s="1152">
        <f>IF(ISNUMBER(
   IF(Criterios!B14="SI",(Datos!K23-Datos!U23)/Datos!U23,(Datos!K23+Datos!AE23-(Datos!U23+Datos!AM23))/(Datos!U23+Datos!AM23))
     ),IF(Criterios!B14="SI",(Datos!K23-Datos!U23)/Datos!U23,(Datos!K23+Datos!AE23-(Datos!U23+Datos!AM23))/(Datos!U23+Datos!AM23))," - ")</f>
        <v>-5.9394844975719091E-2</v>
      </c>
      <c r="E23" s="1152">
        <f>IF(ISNUMBER(
   IF(Criterios!B14="SI",(Datos!L23-Datos!V23)/Datos!V23,(Datos!L23+Datos!AF23-(Datos!V23+Datos!AN23))/(Datos!V23+Datos!AN23))
     ),IF(Criterios!B14="SI",(Datos!L23-Datos!V23)/Datos!V23,(Datos!L23+Datos!AF23-(Datos!V23+Datos!AN23))/(Datos!V23+Datos!AN23))," - ")</f>
        <v>-0.18955042527339003</v>
      </c>
      <c r="F23" s="1153">
        <f>IF(ISNUMBER((Datos!M23-Datos!W23)/Datos!W23),(Datos!M23-Datos!W23)/Datos!W23," - ")</f>
        <v>5.4054054054054057E-2</v>
      </c>
      <c r="G23" s="1154">
        <f>IF(ISNUMBER((Datos!N23-Datos!X23)/Datos!X23),(Datos!N23-Datos!X23)/Datos!X23," - ")</f>
        <v>-5.9322033898305086E-2</v>
      </c>
      <c r="H23" s="1154">
        <f>IF(ISNUMBER(((NºAsuntos!G23/NºAsuntos!E23)-Datos!BD23)/Datos!BD23),((NºAsuntos!G23/NºAsuntos!E23)-Datos!BD23)/Datos!BD23," - ")</f>
        <v>-5.5385445337934297E-2</v>
      </c>
      <c r="I23" s="1154">
        <f>IF(ISNUMBER(((NºAsuntos!I23/NºAsuntos!G23)-Datos!BE23)/Datos!BE23),((NºAsuntos!I23/NºAsuntos!G23)-Datos!BE23)/Datos!BE23," - ")</f>
        <v>-0.13837430041972401</v>
      </c>
      <c r="J23" s="1154">
        <f>IF(ISNUMBER((('Resol  Asuntos'!D23/NºAsuntos!G23)-Datos!BF23)/Datos!BF23),(('Resol  Asuntos'!D23/NºAsuntos!G23)-Datos!BF23)/Datos!BF23," - ")</f>
        <v>0.12061266985810278</v>
      </c>
      <c r="K23" s="1154">
        <f>IF(ISNUMBER((((NºAsuntos!C23+NºAsuntos!E23)/NºAsuntos!G23)-Datos!BG23)/Datos!BG23),(((NºAsuntos!C23+NºAsuntos!E23)/NºAsuntos!G23)-Datos!BG23)/Datos!BG23," - ")</f>
        <v>-8.7349960575165114E-2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-0.16442211055276382</v>
      </c>
      <c r="C31" s="1092">
        <f>IF(ISNUMBER(
   IF(J_V="SI",(Datos!J31-Datos!T31)/Datos!T31,(Datos!J31+Datos!Z31-(Datos!T31+Datos!AH31))/(Datos!T31+Datos!AH31))
     ),IF(J_V="SI",(Datos!J31-Datos!T31)/Datos!T31,(Datos!J31+Datos!Z31-(Datos!T31+Datos!AH31))/(Datos!T31+Datos!AH31))," - ")</f>
        <v>7.3398215733982156E-2</v>
      </c>
      <c r="D31" s="1092">
        <f>IF(ISNUMBER(
   IF(J_V="SI",(Datos!K31-Datos!U31)/Datos!U31,(Datos!K31+Datos!AA31-(Datos!U31+Datos!AI31))/(Datos!U31+Datos!AI31))
     ),IF(J_V="SI",(Datos!K31-Datos!U31)/Datos!U31,(Datos!K31+Datos!AA31-(Datos!U31+Datos!AI31))/(Datos!U31+Datos!AI31))," - ")</f>
        <v>1.7438589911869491E-2</v>
      </c>
      <c r="E31" s="1092">
        <f>IF(ISNUMBER(
   IF(J_V="SI",(Datos!L31-Datos!V31)/Datos!V31,(Datos!L31+Datos!AB31-(Datos!V31+Datos!AJ31))/(Datos!V31+Datos!AJ31))
     ),IF(J_V="SI",(Datos!L31-Datos!V31)/Datos!V31,(Datos!L31+Datos!AB31-(Datos!V31+Datos!AJ31))/(Datos!V31+Datos!AJ31))," - ")</f>
        <v>-2.541436464088398E-2</v>
      </c>
      <c r="F31" s="1093">
        <f>IF(ISNUMBER((Datos!M31-Datos!W31)/Datos!W31),(Datos!M31-Datos!W31)/Datos!W31," - ")</f>
        <v>9.8280098280098278E-3</v>
      </c>
      <c r="G31" s="1094">
        <f>IF(ISNUMBER((Datos!N31-Datos!X31)/Datos!X31),(Datos!N31-Datos!X31)/Datos!X31," - ")</f>
        <v>-7.371794871794872E-2</v>
      </c>
      <c r="H31" s="1095">
        <f>IF(ISNUMBER((Tasas!B31-Datos!BD31)/Datos!BD31),(Tasas!B31-Datos!BD31)/Datos!BD31," - ")</f>
        <v>-5.2133145930234187E-2</v>
      </c>
      <c r="I31" s="1096">
        <f>IF(ISNUMBER((Tasas!C31-Datos!BE31)/Datos!BE31),(Tasas!C31-Datos!BE31)/Datos!BE31," - ")</f>
        <v>-4.2118467863957634E-2</v>
      </c>
      <c r="J31" s="1097">
        <f>IF(ISNUMBER((Tasas!D31-Datos!BF31)/Datos!BF31),(Tasas!D31-Datos!BF31)/Datos!BF31," - ")</f>
        <v>-0.54406818936331136</v>
      </c>
      <c r="K31" s="1097">
        <f>IF(ISNUMBER((Tasas!E31-Datos!BG31)/Datos!BG31),(Tasas!E31-Datos!BG31)/Datos!BG31," - ")</f>
        <v>-6.2378851665494714E-2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ap55cVcqyY5lk4TG5cCnHDWa/G6O9QPER3arkT1gZOGT5EhReCYJkSzYjh6dP3AUIA/rLNG8um78xaIQBHUTA==" saltValue="ptmTlfemoSZCq7GxrXdoe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FUENLABRADA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1.0030314513073133</v>
      </c>
      <c r="C9" s="498">
        <f>IF(ISNUMBER(NºAsuntos!I9/NºAsuntos!G9),NºAsuntos!I9/NºAsuntos!G9," - ")</f>
        <v>1.0426898375519456</v>
      </c>
      <c r="D9" s="499">
        <f>IF(ISNUMBER('Resol  Asuntos'!D9/NºAsuntos!G9),'Resol  Asuntos'!D9/NºAsuntos!G9," - ")</f>
        <v>0.15451454476766149</v>
      </c>
      <c r="E9" s="500">
        <f>IF(ISNUMBER((NºAsuntos!C9+NºAsuntos!E9)/NºAsuntos!G9),(NºAsuntos!C9+NºAsuntos!E9)/NºAsuntos!G9," - ")</f>
        <v>1.9274650547789951</v>
      </c>
      <c r="G9" s="523"/>
    </row>
    <row r="10" spans="1:7">
      <c r="A10" s="450" t="str">
        <f>Datos!A10</f>
        <v>Jdos. Violencia contra la mujer</v>
      </c>
      <c r="B10" s="497">
        <f>IF(ISNUMBER(NºAsuntos!G10/NºAsuntos!E10),NºAsuntos!G10/NºAsuntos!E10," - ")</f>
        <v>1</v>
      </c>
      <c r="C10" s="498">
        <f>IF(ISNUMBER(NºAsuntos!I10/NºAsuntos!G10),NºAsuntos!I10/NºAsuntos!G10," - ")</f>
        <v>1.5</v>
      </c>
      <c r="D10" s="499">
        <f>IF(ISNUMBER('Resol  Asuntos'!D10/NºAsuntos!G10),'Resol  Asuntos'!D10/NºAsuntos!G10," - ")</f>
        <v>0.20833333333333334</v>
      </c>
      <c r="E10" s="500">
        <f>IF(ISNUMBER((NºAsuntos!C10+NºAsuntos!E10)/NºAsuntos!G10),(NºAsuntos!C10+NºAsuntos!E10)/NºAsuntos!G10," - ")</f>
        <v>2.5</v>
      </c>
      <c r="G10" s="523"/>
    </row>
    <row r="11" spans="1:7">
      <c r="A11" s="450" t="str">
        <f>Datos!A11</f>
        <v xml:space="preserve">Jdos. Familia                                   </v>
      </c>
      <c r="B11" s="497">
        <f>IF(ISNUMBER(NºAsuntos!G11/NºAsuntos!E11),NºAsuntos!G11/NºAsuntos!E11," - ")</f>
        <v>0.83157894736842108</v>
      </c>
      <c r="C11" s="498">
        <f>IF(ISNUMBER(NºAsuntos!I11/NºAsuntos!G11),NºAsuntos!I11/NºAsuntos!G11," - ")</f>
        <v>1.1814345991561181</v>
      </c>
      <c r="D11" s="499">
        <f>IF(ISNUMBER('Resol  Asuntos'!D11/NºAsuntos!G11),'Resol  Asuntos'!D11/NºAsuntos!G11," - ")</f>
        <v>0.4050632911392405</v>
      </c>
      <c r="E11" s="500">
        <f>IF(ISNUMBER((NºAsuntos!C11+NºAsuntos!E11)/NºAsuntos!G11),(NºAsuntos!C11+NºAsuntos!E11)/NºAsuntos!G11," - ")</f>
        <v>2.1814345991561179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0.98643147896879235</v>
      </c>
      <c r="C14" s="1156">
        <f>IF(ISNUMBER(NºAsuntos!I14/NºAsuntos!G14),NºAsuntos!I14/NºAsuntos!G14," - ")</f>
        <v>1.0577716643741404</v>
      </c>
      <c r="D14" s="1157">
        <f>IF(ISNUMBER('Resol  Asuntos'!D14/NºAsuntos!G14),'Resol  Asuntos'!D14/NºAsuntos!G14," - ")</f>
        <v>0.17537826685006877</v>
      </c>
      <c r="E14" s="1158">
        <f>IF(ISNUMBER((NºAsuntos!C14+NºAsuntos!E14)/NºAsuntos!G14),(NºAsuntos!C14+NºAsuntos!E14)/NºAsuntos!G14," - ")</f>
        <v>1.9528885832187071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1.0838351088466882</v>
      </c>
      <c r="C16" s="498">
        <f>IF(ISNUMBER(NºAsuntos!I16/NºAsuntos!G16),NºAsuntos!I16/NºAsuntos!G16," - ")</f>
        <v>0.54529914529914525</v>
      </c>
      <c r="D16" s="499">
        <f>IF(ISNUMBER('Resol  Asuntos'!D16/NºAsuntos!G16),'Resol  Asuntos'!D16/NºAsuntos!G16," - ")</f>
        <v>0.13076923076923078</v>
      </c>
      <c r="E16" s="500">
        <f>IF(ISNUMBER((NºAsuntos!C16+NºAsuntos!E16)/NºAsuntos!G16),(NºAsuntos!C16+NºAsuntos!E16)/NºAsuntos!G16," - ")</f>
        <v>1.5149572649572649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0.95187165775401072</v>
      </c>
      <c r="C18" s="498">
        <f>IF(ISNUMBER(NºAsuntos!I18/NºAsuntos!G18),NºAsuntos!I18/NºAsuntos!G18," - ")</f>
        <v>0.3258426966292135</v>
      </c>
      <c r="D18" s="499">
        <f>IF(ISNUMBER('Resol  Asuntos'!D18/NºAsuntos!G18),'Resol  Asuntos'!D18/NºAsuntos!G18," - ")</f>
        <v>3.3707865168539325E-2</v>
      </c>
      <c r="E18" s="500">
        <f>IF(ISNUMBER((NºAsuntos!C18+NºAsuntos!E18)/NºAsuntos!G18),(NºAsuntos!C18+NºAsuntos!E18)/NºAsuntos!G18," - ")</f>
        <v>1.2752808988764044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1.0733162830349532</v>
      </c>
      <c r="C23" s="1156">
        <f>IF(ISNUMBER(NºAsuntos!I23/NºAsuntos!G23),NºAsuntos!I23/NºAsuntos!G23," - ")</f>
        <v>0.52978554408260525</v>
      </c>
      <c r="D23" s="1159">
        <f>IF(ISNUMBER('Resol  Asuntos'!D23/NºAsuntos!G23),'Resol  Asuntos'!D23/NºAsuntos!G23," - ")</f>
        <v>0.12390786338363781</v>
      </c>
      <c r="E23" s="1158">
        <f>IF(ISNUMBER((NºAsuntos!C23+NºAsuntos!E23)/NºAsuntos!G23),(NºAsuntos!C23+NºAsuntos!E23)/NºAsuntos!G23," - ")</f>
        <v>1.4980142970611596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1.0249338874197205</v>
      </c>
      <c r="C31" s="1099">
        <f>IF(ISNUMBER(NºAsuntos!I31/NºAsuntos!G31),NºAsuntos!I31/NºAsuntos!G31," - ")</f>
        <v>0.81275340950976782</v>
      </c>
      <c r="D31" s="1100">
        <f>IF(ISNUMBER('Resol  Asuntos'!D31/NºAsuntos!G31),'Resol  Asuntos'!D31/NºAsuntos!G31," - ")</f>
        <v>0.15149281238481385</v>
      </c>
      <c r="E31" s="1101">
        <f>IF(ISNUMBER((NºAsuntos!C31+NºAsuntos!E31)/NºAsuntos!G31),(NºAsuntos!C31+NºAsuntos!E31)/NºAsuntos!G31," - ")</f>
        <v>1.741798746774788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GMA8La35/1wpiOW2+7YSLI77Dax5wkIzpM7FtJQaCiWPJPfosznVZ73gGI0dCboNMJRj0ORt+1y0/8GxroFXA==" saltValue="7PSBVyawrY7s8eYe07fr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FUENLABRADA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687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585</v>
      </c>
      <c r="Y9" s="374">
        <f>SUM(W9:X9)</f>
        <v>585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8830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409</v>
      </c>
      <c r="AJ9" s="243" t="str">
        <f>IF(ISNUMBER(Datos!BW9),Datos!BW9," - ")</f>
        <v xml:space="preserve"> - </v>
      </c>
      <c r="AK9" s="242" t="str">
        <f>IF(ISNUMBER(Datos!BX9),Datos!BX9," - ")</f>
        <v xml:space="preserve"> - </v>
      </c>
      <c r="AL9" s="266">
        <f>IF(ISNUMBER(NºAsuntos!G9/NºAsuntos!E9),NºAsuntos!G9/NºAsuntos!E9," - ")</f>
        <v>1.0030314513073133</v>
      </c>
      <c r="AM9" s="284">
        <f>IF(ISNUMBER(((NºAsuntos!I9/NºAsuntos!G9)*11)/factor_trimestre),((NºAsuntos!I9/NºAsuntos!G9)*11)/factor_trimestre," - ")</f>
        <v>3.1280695126558364</v>
      </c>
      <c r="AN9" s="267">
        <f>IF(ISNUMBER('Resol  Asuntos'!D9/NºAsuntos!G9),'Resol  Asuntos'!D9/NºAsuntos!G9," - ")</f>
        <v>0.15451454476766149</v>
      </c>
      <c r="AO9" s="268">
        <f>IF(ISNUMBER((NºAsuntos!C9+NºAsuntos!E9)/NºAsuntos!G9),(NºAsuntos!C9+NºAsuntos!E9)/NºAsuntos!G9," - ")</f>
        <v>1.9274650547789951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4</v>
      </c>
      <c r="Y10" s="374">
        <f t="shared" ref="Y10:Y13" si="0">SUM(W10:X10)</f>
        <v>28</v>
      </c>
      <c r="Z10" s="375" t="str">
        <f>IF(ISNUMBER(Datos!CC10),Datos!CC10," - ")</f>
        <v xml:space="preserve"> - </v>
      </c>
      <c r="AA10" s="372">
        <f>IF(ISNUMBER(Datos!L10),Datos!L10,"-")</f>
        <v>36</v>
      </c>
      <c r="AB10" s="374">
        <f>IF(ISNUMBER(Datos!R10),Datos!R10," - ")</f>
        <v>66</v>
      </c>
      <c r="AC10" s="374">
        <f t="shared" ref="AC10:AC13" si="1">IF(ISNUMBER(AA10+AB10),AA10+AB10," - ")</f>
        <v>102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4.5</v>
      </c>
      <c r="AN10" s="267">
        <f>IF(ISNUMBER('Resol  Asuntos'!D10/NºAsuntos!G10),'Resol  Asuntos'!D10/NºAsuntos!G10," - ")</f>
        <v>0.20833333333333334</v>
      </c>
      <c r="AO10" s="268">
        <f>IF(ISNUMBER((NºAsuntos!C10+NºAsuntos!E10)/NºAsuntos!G10),(NºAsuntos!C10+NºAsuntos!E10)/NºAsuntos!G10," - ")</f>
        <v>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321</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19</v>
      </c>
      <c r="Y11" s="374">
        <f t="shared" si="0"/>
        <v>19</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143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96</v>
      </c>
      <c r="AJ11" s="245" t="str">
        <f>IF(ISNUMBER(Datos!BW11),Datos!BW11," - ")</f>
        <v xml:space="preserve"> - </v>
      </c>
      <c r="AK11" s="246" t="str">
        <f>IF(ISNUMBER(Datos!BX11),Datos!BX11," - ")</f>
        <v xml:space="preserve"> - </v>
      </c>
      <c r="AL11" s="266">
        <f>IF(ISNUMBER(NºAsuntos!G11/NºAsuntos!E11),NºAsuntos!G11/NºAsuntos!E11," - ")</f>
        <v>0.83157894736842108</v>
      </c>
      <c r="AM11" s="284">
        <f>IF(ISNUMBER(((NºAsuntos!I11/NºAsuntos!G11)*11)/factor_trimestre),((NºAsuntos!I11/NºAsuntos!G11)*11)/factor_trimestre," - ")</f>
        <v>3.5443037974683542</v>
      </c>
      <c r="AN11" s="267">
        <f>IF(ISNUMBER('Resol  Asuntos'!D11/NºAsuntos!G11),'Resol  Asuntos'!D11/NºAsuntos!G11," - ")</f>
        <v>0.4050632911392405</v>
      </c>
      <c r="AO11" s="268">
        <f>IF(ISNUMBER((NºAsuntos!C11+NºAsuntos!E11)/NºAsuntos!G11),(NºAsuntos!C11+NºAsuntos!E11)/NºAsuntos!G11," - ")</f>
        <v>2.1814345991561179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36</v>
      </c>
      <c r="G14" s="1163">
        <f t="shared" si="5"/>
        <v>36</v>
      </c>
      <c r="H14" s="1162">
        <f t="shared" si="5"/>
        <v>0</v>
      </c>
      <c r="I14" s="1164">
        <f t="shared" si="5"/>
        <v>0</v>
      </c>
      <c r="J14" s="1164">
        <f t="shared" si="5"/>
        <v>0</v>
      </c>
      <c r="K14" s="1164">
        <f t="shared" si="5"/>
        <v>0</v>
      </c>
      <c r="L14" s="1164">
        <f t="shared" si="5"/>
        <v>725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608</v>
      </c>
      <c r="Y14" s="1165">
        <f t="shared" si="6"/>
        <v>632</v>
      </c>
      <c r="Z14" s="1165">
        <f t="shared" si="6"/>
        <v>0</v>
      </c>
      <c r="AA14" s="1165">
        <f t="shared" si="6"/>
        <v>36</v>
      </c>
      <c r="AB14" s="1165">
        <f t="shared" si="6"/>
        <v>9039</v>
      </c>
      <c r="AC14" s="1165">
        <f t="shared" si="6"/>
        <v>102</v>
      </c>
      <c r="AD14" s="1165">
        <f t="shared" si="6"/>
        <v>0</v>
      </c>
      <c r="AE14" s="1169">
        <f t="shared" si="6"/>
        <v>0</v>
      </c>
      <c r="AF14" s="1162">
        <f t="shared" si="6"/>
        <v>0</v>
      </c>
      <c r="AG14" s="1170">
        <f t="shared" si="6"/>
        <v>0</v>
      </c>
      <c r="AH14" s="1167">
        <f t="shared" si="6"/>
        <v>0</v>
      </c>
      <c r="AI14" s="1162">
        <f t="shared" si="6"/>
        <v>510</v>
      </c>
      <c r="AJ14" s="1164">
        <f t="shared" si="6"/>
        <v>0</v>
      </c>
      <c r="AK14" s="1167">
        <f>SUBTOTAL(9,AK9:AK13)</f>
        <v>0</v>
      </c>
      <c r="AL14" s="1171">
        <f>IF(ISNUMBER(NºAsuntos!G14/NºAsuntos!E14),NºAsuntos!G14/NºAsuntos!E14," - ")</f>
        <v>0.98643147896879235</v>
      </c>
      <c r="AM14" s="1171">
        <f>IF(ISNUMBER(((NºAsuntos!I14/NºAsuntos!G14)*11)/factor_trimestre),((NºAsuntos!I14/NºAsuntos!G14)*11)/factor_trimestre," - ")</f>
        <v>3.1733149931224212</v>
      </c>
      <c r="AN14" s="1172">
        <f>IF(ISNUMBER('Resol  Asuntos'!D14/NºAsuntos!G14),'Resol  Asuntos'!D14/NºAsuntos!G14," - ")</f>
        <v>0.17537826685006877</v>
      </c>
      <c r="AO14" s="1173">
        <f>IF(ISNUMBER((NºAsuntos!C14+NºAsuntos!E14)/NºAsuntos!G14),(NºAsuntos!C14+NºAsuntos!E14)/NºAsuntos!G14," - ")</f>
        <v>1.9528885832187071</v>
      </c>
      <c r="AP14" s="1174" t="str">
        <f t="shared" si="2"/>
        <v xml:space="preserve"> - </v>
      </c>
      <c r="AQ14" s="1174">
        <f>IF(ISNUMBER((H14-W14+K14)/(F14)),(H14-W14+K14)/(F14)," - ")</f>
        <v>-0.66666666666666663</v>
      </c>
      <c r="AR14" s="1175">
        <f>IF(ISNUMBER((Datos!P14-Datos!Q14)/(Datos!R14-Datos!P14+Datos!Q14)),(Datos!P14-Datos!Q14)/(Datos!R14-Datos!P14+Datos!Q14)," - ")</f>
        <v>1.3113651647612643E-2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6</v>
      </c>
      <c r="B16" s="300" t="s">
        <v>511</v>
      </c>
      <c r="C16" s="173" t="str">
        <f>Datos!A16</f>
        <v xml:space="preserve">Jdos. Instrucción                               </v>
      </c>
      <c r="D16" s="173"/>
      <c r="E16" s="1402">
        <f>IF(ISNUMBER(Datos!AQ16),Datos!AQ16," - ")</f>
        <v>6</v>
      </c>
      <c r="F16" s="239">
        <f>IF(ISNUMBER(AA16+W16-Datos!J16-K16),AA16+W16-Datos!J16-K16," - ")</f>
        <v>1457</v>
      </c>
      <c r="G16" s="373">
        <f>IF(ISNUMBER(IF(D_I="SI",Datos!I16,Datos!I16+Datos!AC16)),IF(D_I="SI",Datos!I16,Datos!I16+Datos!AC16)," - ")</f>
        <v>1386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136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2340</v>
      </c>
      <c r="X16" s="240">
        <f>IF(ISNUMBER(Datos!Q16),Datos!Q16," - ")</f>
        <v>135</v>
      </c>
      <c r="Y16" s="374">
        <f>SUM(W16)</f>
        <v>2340</v>
      </c>
      <c r="Z16" s="375" t="str">
        <f>IF(ISNUMBER(Datos!CC16),Datos!CC16," - ")</f>
        <v xml:space="preserve"> - </v>
      </c>
      <c r="AA16" s="372">
        <f>IF(ISNUMBER(IF(D_I="SI",Datos!L16,Datos!L16+Datos!AF16)),IF(D_I="SI",Datos!L16,Datos!L16+Datos!AF16)," - ")</f>
        <v>1276</v>
      </c>
      <c r="AB16" s="374">
        <f>IF(ISNUMBER(Datos!R16),Datos!R16," - ")</f>
        <v>449</v>
      </c>
      <c r="AC16" s="374">
        <f t="shared" ref="AC16:AC22" si="8">IF(ISNUMBER(AA16+AB16),AA16+AB16," - ")</f>
        <v>1725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306</v>
      </c>
      <c r="AJ16" s="245" t="str">
        <f>IF(ISNUMBER(Datos!BW16),Datos!BW16," - ")</f>
        <v xml:space="preserve"> - </v>
      </c>
      <c r="AK16" s="246" t="str">
        <f>IF(ISNUMBER(Datos!BX16),Datos!BX16," - ")</f>
        <v xml:space="preserve"> - </v>
      </c>
      <c r="AL16" s="266">
        <f>IF(ISNUMBER(NºAsuntos!G16/NºAsuntos!E16),NºAsuntos!G16/NºAsuntos!E16," - ")</f>
        <v>1.0838351088466882</v>
      </c>
      <c r="AM16" s="284">
        <f>IF(ISNUMBER(((NºAsuntos!I16/NºAsuntos!G16)*11)/factor_trimestre),((NºAsuntos!I16/NºAsuntos!G16)*11)/factor_trimestre," - ")</f>
        <v>1.6358974358974356</v>
      </c>
      <c r="AN16" s="267">
        <f>IF(ISNUMBER('Resol  Asuntos'!D16/NºAsuntos!G16),'Resol  Asuntos'!D16/NºAsuntos!G16," - ")</f>
        <v>0.13076923076923078</v>
      </c>
      <c r="AO16" s="268">
        <f>IF(ISNUMBER((NºAsuntos!C16+NºAsuntos!E16)/NºAsuntos!G16),(NºAsuntos!C16+NºAsuntos!E16)/NºAsuntos!G16," - ")</f>
        <v>1.5149572649572649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40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178</v>
      </c>
      <c r="X18" s="240">
        <f>IF(ISNUMBER(Datos!Q18),Datos!Q18," - ")</f>
        <v>3</v>
      </c>
      <c r="Y18" s="374">
        <f t="shared" si="9"/>
        <v>181</v>
      </c>
      <c r="Z18" s="375" t="str">
        <f>IF(ISNUMBER(Datos!CC18),Datos!CC18," - ")</f>
        <v xml:space="preserve"> - </v>
      </c>
      <c r="AA18" s="372">
        <f>IF(ISNUMBER(Datos!L18),Datos!L18,"-")</f>
        <v>58</v>
      </c>
      <c r="AB18" s="374">
        <f>IF(ISNUMBER(Datos!R18),Datos!R18," - ")</f>
        <v>4</v>
      </c>
      <c r="AC18" s="374">
        <f t="shared" si="8"/>
        <v>62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0.95187165775401072</v>
      </c>
      <c r="AM18" s="284">
        <f>IF(ISNUMBER(((NºAsuntos!I18/NºAsuntos!G18)*11)/factor_trimestre),((NºAsuntos!I18/NºAsuntos!G18)*11)/factor_trimestre," - ")</f>
        <v>0.97752808988764051</v>
      </c>
      <c r="AN18" s="267">
        <f>IF(ISNUMBER('Resol  Asuntos'!D18/NºAsuntos!G18),'Resol  Asuntos'!D18/NºAsuntos!G18," - ")</f>
        <v>3.3707865168539325E-2</v>
      </c>
      <c r="AO18" s="268">
        <f>IF(ISNUMBER((NºAsuntos!C18+NºAsuntos!E18)/NºAsuntos!G18),(NºAsuntos!C18+NºAsuntos!E18)/NºAsuntos!G18," - ")</f>
        <v>1.2752808988764044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1457</v>
      </c>
      <c r="G23" s="1163">
        <f>SUBTOTAL(9,G16:G22)</f>
        <v>1426</v>
      </c>
      <c r="H23" s="1162">
        <f t="shared" ref="H23:O23" si="13">SUBTOTAL(9,H15:H22)</f>
        <v>0</v>
      </c>
      <c r="I23" s="1164">
        <f t="shared" si="13"/>
        <v>0</v>
      </c>
      <c r="J23" s="1164">
        <f t="shared" si="13"/>
        <v>0</v>
      </c>
      <c r="K23" s="1164">
        <f t="shared" si="13"/>
        <v>0</v>
      </c>
      <c r="L23" s="1164">
        <f t="shared" si="13"/>
        <v>137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2518</v>
      </c>
      <c r="X23" s="1164">
        <f t="shared" si="14"/>
        <v>138</v>
      </c>
      <c r="Y23" s="1165">
        <f t="shared" si="14"/>
        <v>2521</v>
      </c>
      <c r="Z23" s="1165">
        <f t="shared" si="14"/>
        <v>0</v>
      </c>
      <c r="AA23" s="1165">
        <f t="shared" si="14"/>
        <v>1334</v>
      </c>
      <c r="AB23" s="1165">
        <f t="shared" si="14"/>
        <v>453</v>
      </c>
      <c r="AC23" s="1165">
        <f t="shared" si="14"/>
        <v>1787</v>
      </c>
      <c r="AD23" s="1165">
        <f t="shared" si="14"/>
        <v>0</v>
      </c>
      <c r="AE23" s="1169">
        <f t="shared" si="14"/>
        <v>0</v>
      </c>
      <c r="AF23" s="1162">
        <f t="shared" si="14"/>
        <v>0</v>
      </c>
      <c r="AG23" s="1170">
        <f t="shared" si="14"/>
        <v>0</v>
      </c>
      <c r="AH23" s="1167">
        <f t="shared" si="14"/>
        <v>0</v>
      </c>
      <c r="AI23" s="1162">
        <f t="shared" si="14"/>
        <v>312</v>
      </c>
      <c r="AJ23" s="1164">
        <f t="shared" si="14"/>
        <v>0</v>
      </c>
      <c r="AK23" s="1167">
        <f t="shared" si="14"/>
        <v>0</v>
      </c>
      <c r="AL23" s="1171">
        <f>IF(ISNUMBER(NºAsuntos!G23/NºAsuntos!E23),NºAsuntos!G23/NºAsuntos!E23," - ")</f>
        <v>1.0733162830349532</v>
      </c>
      <c r="AM23" s="1171">
        <f>IF(ISNUMBER(((NºAsuntos!I23/NºAsuntos!G23)*11)/factor_trimestre),((NºAsuntos!I23/NºAsuntos!G23)*11)/factor_trimestre," - ")</f>
        <v>1.5893566322478156</v>
      </c>
      <c r="AN23" s="1172">
        <f>IF(ISNUMBER('Resol  Asuntos'!D23/NºAsuntos!G23),'Resol  Asuntos'!D23/NºAsuntos!G23," - ")</f>
        <v>0.12390786338363781</v>
      </c>
      <c r="AO23" s="1173">
        <f>IF(ISNUMBER((NºAsuntos!C23+NºAsuntos!E23)/NºAsuntos!G23),(NºAsuntos!C23+NºAsuntos!E23)/NºAsuntos!G23," - ")</f>
        <v>1.4980142970611596</v>
      </c>
      <c r="AP23" s="1174" t="str">
        <f t="shared" si="2"/>
        <v xml:space="preserve"> - </v>
      </c>
      <c r="AQ23" s="1174">
        <f>IF(ISNUMBER((H23-W23+K23)/(F23)),(H23-W23+K23)/(F23)," - ")</f>
        <v>-1.7282086479066576</v>
      </c>
      <c r="AR23" s="1175">
        <f>IF(ISNUMBER((Datos!P23-Datos!Q23)/(Datos!R23-Datos!P23+Datos!Q23)),(Datos!P23-Datos!Q23)/(Datos!R23-Datos!P23+Datos!Q23)," - ")</f>
        <v>-2.2026431718061676E-3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1493</v>
      </c>
      <c r="G31" s="1118">
        <f t="shared" si="20"/>
        <v>1462</v>
      </c>
      <c r="H31" s="1117">
        <f t="shared" si="20"/>
        <v>0</v>
      </c>
      <c r="I31" s="1119">
        <f t="shared" si="20"/>
        <v>0</v>
      </c>
      <c r="J31" s="1119">
        <f t="shared" si="20"/>
        <v>0</v>
      </c>
      <c r="K31" s="1180">
        <f t="shared" si="20"/>
        <v>0</v>
      </c>
      <c r="L31" s="1119">
        <f t="shared" si="20"/>
        <v>862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2542</v>
      </c>
      <c r="X31" s="1118">
        <f t="shared" si="21"/>
        <v>746</v>
      </c>
      <c r="Y31" s="1125">
        <f t="shared" si="21"/>
        <v>3153</v>
      </c>
      <c r="Z31" s="1125">
        <f t="shared" si="21"/>
        <v>0</v>
      </c>
      <c r="AA31" s="1125">
        <f t="shared" si="21"/>
        <v>1370</v>
      </c>
      <c r="AB31" s="1125">
        <f t="shared" si="21"/>
        <v>9492</v>
      </c>
      <c r="AC31" s="1125">
        <f t="shared" si="21"/>
        <v>1889</v>
      </c>
      <c r="AD31" s="1125">
        <f t="shared" si="21"/>
        <v>0</v>
      </c>
      <c r="AE31" s="1127">
        <f t="shared" si="21"/>
        <v>0</v>
      </c>
      <c r="AF31" s="1128">
        <f t="shared" si="21"/>
        <v>0</v>
      </c>
      <c r="AG31" s="1129">
        <f t="shared" si="21"/>
        <v>0</v>
      </c>
      <c r="AH31" s="1127">
        <f t="shared" si="21"/>
        <v>0</v>
      </c>
      <c r="AI31" s="1117">
        <f t="shared" si="21"/>
        <v>822</v>
      </c>
      <c r="AJ31" s="1117">
        <f t="shared" si="21"/>
        <v>0</v>
      </c>
      <c r="AK31" s="1127">
        <f t="shared" si="21"/>
        <v>0</v>
      </c>
      <c r="AL31" s="1183">
        <f>IF(ISNUMBER(NºAsuntos!G31/NºAsuntos!E31),NºAsuntos!G31/NºAsuntos!E31," - ")</f>
        <v>1.0249338874197205</v>
      </c>
      <c r="AM31" s="1184">
        <f>IF(ISNUMBER(((NºAsuntos!I31/NºAsuntos!G31)*11)/factor_trimestre),((NºAsuntos!I31/NºAsuntos!G31)*11)/factor_trimestre," - ")</f>
        <v>2.4382602285293031</v>
      </c>
      <c r="AN31" s="1184">
        <f>IF(ISNUMBER('Resol  Asuntos'!D31/NºAsuntos!G31),'Resol  Asuntos'!D31/NºAsuntos!G31," - ")</f>
        <v>0.15149281238481385</v>
      </c>
      <c r="AO31" s="1185">
        <f>IF(ISNUMBER((NºAsuntos!C31+NºAsuntos!E31)/NºAsuntos!G31),(NºAsuntos!C31+NºAsuntos!E31)/NºAsuntos!G31," - ")</f>
        <v>1.741798746774788</v>
      </c>
      <c r="AP31" s="1186" t="str">
        <f t="shared" si="2"/>
        <v xml:space="preserve"> - </v>
      </c>
      <c r="AQ31" s="1187">
        <f>IF(OR(ISNUMBER(FIND("01",Criterios!A8,1)),ISNUMBER(FIND("02",Criterios!A8,1)),ISNUMBER(FIND("03",Criterios!A8,1)),ISNUMBER(FIND("04",Criterios!A8,1))),(I31-W31+K31)/(F31-K31),(H31-W31+K31)/(F31-K31))</f>
        <v>-1.7026121902210314</v>
      </c>
      <c r="AR31" s="1188">
        <f>IF(ISNUMBER((Datos!P31-Datos!Q31)/(Datos!R31-Datos!P31+Datos!Q31)),(Datos!P31-Datos!Q31)/(Datos!R31-Datos!P31+Datos!Q31)," - ")</f>
        <v>1.2372013651877133E-2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2.7951503532146571</v>
      </c>
      <c r="F33" s="276">
        <f>IF(ISNUMBER(STDEV(F8:F30)),STDEV(F8:F30),"-")</f>
        <v>743.27078959600351</v>
      </c>
      <c r="G33" s="277">
        <f>IF(ISNUMBER(STDEV(G8:G30)),STDEV(G8:G30),"-")</f>
        <v>675.4341108466748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1165.9276298704126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202.27889163232035</v>
      </c>
      <c r="AJ33" s="276">
        <f t="shared" si="25"/>
        <v>0</v>
      </c>
      <c r="AK33" s="278">
        <f t="shared" si="25"/>
        <v>0</v>
      </c>
      <c r="AL33" s="273">
        <f t="shared" si="25"/>
        <v>8.4241897269765567E-2</v>
      </c>
      <c r="AM33" s="274">
        <f t="shared" si="25"/>
        <v>1.2698568582785446</v>
      </c>
      <c r="AN33" s="274">
        <f t="shared" si="25"/>
        <v>0.11473440112023693</v>
      </c>
      <c r="AO33" s="275">
        <f t="shared" si="25"/>
        <v>0.43088242682840738</v>
      </c>
      <c r="AP33" s="317" t="str">
        <f t="shared" si="25"/>
        <v>-</v>
      </c>
      <c r="AQ33" s="318">
        <f t="shared" si="25"/>
        <v>0.75062353344900079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pzUP0l1ITsfGattMiRxvgIxomNfTK8vStyj0F2UVOAQ7TPx1mSSbQOa0rBCULbbHydf2FSkydsoWXuGdTUf+Q==" saltValue="TRrxWHklolg0k+dQTxhN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FUENLABRADA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8.7765957446808512E-2</v>
      </c>
      <c r="I9" s="395">
        <f>IF(ISNUMBER((Tasas!C9-Datos!BE9)/Datos!BE9),(Tasas!C9-Datos!BE9)/Datos!BE9," - ")</f>
        <v>-4.184149126966042E-2</v>
      </c>
      <c r="J9" s="394">
        <f>IF(ISNUMBER((Tasas!D9-Datos!BF9)/Datos!BF9),(Tasas!D9-Datos!BF9)/Datos!BF9," - ")</f>
        <v>-0.73529606600697761</v>
      </c>
      <c r="K9" s="396">
        <f>IF(ISNUMBER((Tasas!E9-Datos!BG9)/Datos!BG9),(Tasas!E9-Datos!BG9)/Datos!BG9," - ")</f>
        <v>-7.279956676782999E-2</v>
      </c>
      <c r="M9" t="e">
        <f>IF(Monitorios="SI",Datos!CE9,0)</f>
        <v>#REF!</v>
      </c>
      <c r="N9" t="e">
        <f>IF(Monitorios="SI",Datos!CF9,0)</f>
        <v>#REF!</v>
      </c>
      <c r="O9" t="e">
        <f>IF(Monitorios="SI",Datos!CG9,0)</f>
        <v>#REF!</v>
      </c>
      <c r="P9" t="e">
        <f>IF(Monitorios="SI",Datos!CH9,0)</f>
        <v>#REF!</v>
      </c>
      <c r="Q9">
        <f>IF(J_V="SI",0,Datos!AG9)</f>
        <v>106</v>
      </c>
      <c r="R9">
        <f>IF(J_V="SI",0,Datos!AH9)</f>
        <v>195</v>
      </c>
      <c r="S9">
        <f>IF(J_V="SI",0,Datos!AI9)</f>
        <v>175</v>
      </c>
      <c r="T9">
        <f>IF(J_V="SI",0,Datos!AJ9)</f>
        <v>126</v>
      </c>
    </row>
    <row r="10" spans="2:20" ht="14.25">
      <c r="B10" s="300" t="s">
        <v>321</v>
      </c>
      <c r="C10" s="7" t="str">
        <f>Datos!A10</f>
        <v>Jdos. Violencia contra la mujer</v>
      </c>
      <c r="D10" s="397">
        <f>IF(ISNUMBER((Datos!I10-Datos!S10)/Datos!S10),(Datos!I10-Datos!S10)/Datos!S10," - ")</f>
        <v>-0.47826086956521741</v>
      </c>
      <c r="E10" s="393">
        <f>IF(ISNUMBER((Datos!J10-Datos!T10)/Datos!T10),(Datos!J10-Datos!T10)/Datos!T10," - ")</f>
        <v>4.3478260869565216E-2</v>
      </c>
      <c r="F10" s="393">
        <f>IF(ISNUMBER((Datos!K10-Datos!U10)/Datos!U10),(Datos!K10-Datos!U10)/Datos!U10," - ")</f>
        <v>-0.35135135135135137</v>
      </c>
      <c r="G10" s="394">
        <f>IF(ISNUMBER((Datos!L10-Datos!V10)/Datos!V10),(Datos!L10-Datos!V10)/Datos!V10," - ")</f>
        <v>-0.34545454545454546</v>
      </c>
      <c r="H10" s="244">
        <f>IF(ISNUMBER((Datos!M10-Datos!W10)/Datos!W10),(Datos!M10-Datos!W10)/Datos!W10," - ")</f>
        <v>-0.66666666666666663</v>
      </c>
      <c r="I10" s="395">
        <f>IF(ISNUMBER((Tasas!C10-Datos!BE10)/Datos!BE10),(Tasas!C10-Datos!BE10)/Datos!BE10," - ")</f>
        <v>9.0909090909091477E-3</v>
      </c>
      <c r="J10" s="394">
        <f>IF(ISNUMBER((Tasas!D10-Datos!BF10)/Datos!BF10),(Tasas!D10-Datos!BF10)/Datos!BF10," - ")</f>
        <v>-0.4861111111111111</v>
      </c>
      <c r="K10" s="396">
        <f>IF(ISNUMBER((Tasas!E10-Datos!BG10)/Datos!BG10),(Tasas!E10-Datos!BG10)/Datos!BG10," - ")</f>
        <v>5.4347826086956859E-3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-0.24409448818897639</v>
      </c>
      <c r="I11" s="395">
        <f>IF(ISNUMBER((Tasas!C11-Datos!BE11)/Datos!BE11),(Tasas!C11-Datos!BE11)/Datos!BE11," - ")</f>
        <v>0.18560927971850724</v>
      </c>
      <c r="J11" s="394">
        <f>IF(ISNUMBER((Tasas!D11-Datos!BF11)/Datos!BF11),(Tasas!D11-Datos!BF11)/Datos!BF11," - ")</f>
        <v>0.17385688452596232</v>
      </c>
      <c r="K11" s="396">
        <f>IF(ISNUMBER((Tasas!E11-Datos!BG11)/Datos!BG11),(Tasas!E11-Datos!BG11)/Datos!BG11," - ")</f>
        <v>9.2640963245745195E-2</v>
      </c>
      <c r="M11" t="e">
        <f>IF(Monitorios="SI",Datos!CE11,0)</f>
        <v>#REF!</v>
      </c>
      <c r="N11" t="e">
        <f>IF(Monitorios="SI",Datos!CF11,0)</f>
        <v>#REF!</v>
      </c>
      <c r="O11" t="e">
        <f>IF(Monitorios="SI",Datos!CG11,0)</f>
        <v>#REF!</v>
      </c>
      <c r="P11" t="e">
        <f>IF(Monitorios="SI",Datos!CH11,0)</f>
        <v>#REF!</v>
      </c>
      <c r="Q11">
        <f>IF(J_V="SI",0,Datos!AG11)</f>
        <v>8</v>
      </c>
      <c r="R11">
        <f>IF(J_V="SI",0,Datos!AH11)</f>
        <v>14</v>
      </c>
      <c r="S11">
        <f>IF(J_V="SI",0,Datos!AI11)</f>
        <v>16</v>
      </c>
      <c r="T11">
        <f>IF(J_V="SI",0,Datos!AJ11)</f>
        <v>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-1.5444015444015444E-2</v>
      </c>
      <c r="I14" s="402">
        <f>IF(ISNUMBER((Tasas!C14-Datos!BE14)/Datos!BE14),(Tasas!C14-Datos!BE14)/Datos!BE14," - ")</f>
        <v>-2.4160631963279996E-2</v>
      </c>
      <c r="J14" s="400">
        <f>IF(ISNUMBER((Tasas!D14-Datos!BF14)/Datos!BF14),(Tasas!D14-Datos!BF14)/Datos!BF14," - ")</f>
        <v>-0.68441417564106877</v>
      </c>
      <c r="K14" s="403">
        <f>IF(ISNUMBER((Tasas!E14-Datos!BG14)/Datos!BG14),(Tasas!E14-Datos!BG14)/Datos!BG14," - ")</f>
        <v>-5.9156162338312099E-2</v>
      </c>
      <c r="M14" t="e">
        <f>IF(Monitorios="SI",Datos!CE14,0)</f>
        <v>#REF!</v>
      </c>
      <c r="N14" t="e">
        <f>IF(Monitorios="SI",Datos!CF14,0)</f>
        <v>#REF!</v>
      </c>
      <c r="O14" t="e">
        <f>IF(Monitorios="SI",Datos!CG14,0)</f>
        <v>#REF!</v>
      </c>
      <c r="P14" t="e">
        <f>IF(Monitorios="SI",Datos!CH14,0)</f>
        <v>#REF!</v>
      </c>
      <c r="Q14">
        <f>IF(J_V="SI",0,Datos!AG14)</f>
        <v>114</v>
      </c>
      <c r="R14">
        <f>IF(J_V="SI",0,Datos!AH14)</f>
        <v>209</v>
      </c>
      <c r="S14">
        <f>IF(J_V="SI",0,Datos!AI14)</f>
        <v>191</v>
      </c>
      <c r="T14">
        <f>IF(J_V="SI",0,Datos!AJ14)</f>
        <v>132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-0.26198083067092653</v>
      </c>
      <c r="E16" s="393">
        <f>IF(ISNUMBER(
   IF(D_I="SI",(Datos!J16-Datos!T16)/Datos!T16,(Datos!J16+Datos!AD16-(Datos!T16+Datos!AL16))/(Datos!T16+Datos!AL16))
     ),IF(D_I="SI",(Datos!J16-Datos!T16)/Datos!T16,(Datos!J16+Datos!AD16-(Datos!T16+Datos!AL16))/(Datos!T16+Datos!AL16))," - ")</f>
        <v>-2.7713625866050808E-3</v>
      </c>
      <c r="F16" s="393">
        <f>IF(ISNUMBER(
   IF(D_I="SI",(Datos!K16-Datos!U16)/Datos!U16,(Datos!K16+Datos!AE16-(Datos!U16+Datos!AM16))/(Datos!U16+Datos!AM16))
     ),IF(D_I="SI",(Datos!K16-Datos!U16)/Datos!U16,(Datos!K16+Datos!AE16-(Datos!U16+Datos!AM16))/(Datos!U16+Datos!AM16))," - ")</f>
        <v>-5.0709939148073022E-2</v>
      </c>
      <c r="G16" s="394">
        <f>IF(ISNUMBER(
   IF(D_I="SI",(Datos!L16-Datos!V16)/Datos!V16,(Datos!L16+Datos!AF16-(Datos!V16+Datos!AN16))/(Datos!V16+Datos!AN16))
     ),IF(D_I="SI",(Datos!L16-Datos!V16)/Datos!V16,(Datos!L16+Datos!AF16-(Datos!V16+Datos!AN16))/(Datos!V16+Datos!AN16))," - ")</f>
        <v>-0.15272244355909695</v>
      </c>
      <c r="H16" s="244">
        <f>IF(ISNUMBER((Datos!M16-Datos!W16)/Datos!W16),(Datos!M16-Datos!W16)/Datos!W16," - ")</f>
        <v>6.6202090592334492E-2</v>
      </c>
      <c r="I16" s="395">
        <f>IF(ISNUMBER((Tasas!C16-Datos!BE16)/Datos!BE16),(Tasas!C16-Datos!BE16)/Datos!BE16," - ")</f>
        <v>-0.10746189033041634</v>
      </c>
      <c r="J16" s="394">
        <f>IF(ISNUMBER((Tasas!D16-Datos!BF16)/Datos!BF16),(Tasas!D16-Datos!BF16)/Datos!BF16," - ")</f>
        <v>0.12315733047440372</v>
      </c>
      <c r="K16" s="396">
        <f>IF(ISNUMBER((Tasas!E16-Datos!BG16)/Datos!BG16),(Tasas!E16-Datos!BG16)/Datos!BG16," - ")</f>
        <v>-7.6336963116582196E-2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-0.75</v>
      </c>
      <c r="E18" s="393">
        <f>IF(ISNUMBER(
   IF(D_I="SI",(Datos!J18-Datos!T18)/Datos!T18,(Datos!J18+Datos!AD18-(Datos!T18+Datos!AL18))/(Datos!T18+Datos!AL18))
     ),IF(D_I="SI",(Datos!J18-Datos!T18)/Datos!T18,(Datos!J18+Datos!AD18-(Datos!T18+Datos!AL18))/(Datos!T18+Datos!AL18))," - ")</f>
        <v>-2.0942408376963352E-2</v>
      </c>
      <c r="F18" s="393">
        <f>IF(ISNUMBER(
   IF(D_I="SI",(Datos!K18-Datos!U18)/Datos!U18,(Datos!K18+Datos!AE18-(Datos!U18+Datos!AM18))/(Datos!U18+Datos!AM18))
     ),IF(D_I="SI",(Datos!K18-Datos!U18)/Datos!U18,(Datos!K18+Datos!AE18-(Datos!U18+Datos!AM18))/(Datos!U18+Datos!AM18))," - ")</f>
        <v>-0.16037735849056603</v>
      </c>
      <c r="G18" s="394">
        <f>IF(ISNUMBER(
   IF(D_I="SI",(Datos!L18-Datos!V18)/Datos!V18,(Datos!L18+Datos!AF18-(Datos!V18+Datos!AN18))/(Datos!V18+Datos!AN18))
     ),IF(D_I="SI",(Datos!L18-Datos!V18)/Datos!V18,(Datos!L18+Datos!AF18-(Datos!V18+Datos!AN18))/(Datos!V18+Datos!AN18))," - ")</f>
        <v>-0.58571428571428574</v>
      </c>
      <c r="H18" s="244">
        <f>IF(ISNUMBER((Datos!M18-Datos!W18)/Datos!W18),(Datos!M18-Datos!W18)/Datos!W18," - ")</f>
        <v>-0.33333333333333331</v>
      </c>
      <c r="I18" s="395">
        <f>IF(ISNUMBER((Tasas!C18-Datos!BE18)/Datos!BE18),(Tasas!C18-Datos!BE18)/Datos!BE18," - ")</f>
        <v>-0.50658105939004805</v>
      </c>
      <c r="J18" s="394">
        <f>IF(ISNUMBER((Tasas!D18-Datos!BF18)/Datos!BF18),(Tasas!D18-Datos!BF18)/Datos!BF18," - ")</f>
        <v>-0.20599250936329586</v>
      </c>
      <c r="K18" s="396">
        <f>IF(ISNUMBER((Tasas!E18-Datos!BG18)/Datos!BG18),(Tasas!E18-Datos!BG18)/Datos!BG18," - ")</f>
        <v>-0.22974487019430848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-0.30029440628066734</v>
      </c>
      <c r="E23" s="399">
        <f>IF(ISNUMBER(
   IF(D_I="SI",(Datos!J23-Datos!T23)/Datos!T23,(Datos!J23+Datos!AD23-(Datos!T23+Datos!AL23))/(Datos!T23+Datos!AL23))
     ),IF(D_I="SI",(Datos!J23-Datos!T23)/Datos!T23,(Datos!J23+Datos!AD23-(Datos!T23+Datos!AL23))/(Datos!T23+Datos!AL23))," - ")</f>
        <v>-4.2444821731748728E-3</v>
      </c>
      <c r="F23" s="399">
        <f>IF(ISNUMBER(
   IF(D_I="SI",(Datos!K23-Datos!U23)/Datos!U23,(Datos!K23+Datos!AE23-(Datos!U23+Datos!AM23))/(Datos!U23+Datos!AM23))
     ),IF(D_I="SI",(Datos!K23-Datos!U23)/Datos!U23,(Datos!K23+Datos!AE23-(Datos!U23+Datos!AM23))/(Datos!U23+Datos!AM23))," - ")</f>
        <v>-5.9394844975719091E-2</v>
      </c>
      <c r="G23" s="400">
        <f>IF(ISNUMBER(
   IF(D_I="SI",(Datos!L23-Datos!V23)/Datos!V23,(Datos!L23+Datos!AF23-(Datos!V23+Datos!AN23))/(Datos!V23+Datos!AN23))
     ),IF(D_I="SI",(Datos!L23-Datos!V23)/Datos!V23,(Datos!L23+Datos!AF23-(Datos!V23+Datos!AN23))/(Datos!V23+Datos!AN23))," - ")</f>
        <v>-0.18955042527339003</v>
      </c>
      <c r="H23" s="401">
        <f>IF(ISNUMBER((Datos!M23-Datos!W23)/Datos!W23),(Datos!M23-Datos!W23)/Datos!W23," - ")</f>
        <v>5.4054054054054057E-2</v>
      </c>
      <c r="I23" s="402">
        <f>IF(ISNUMBER((Tasas!C23-Datos!BE23)/Datos!BE23),(Tasas!C23-Datos!BE23)/Datos!BE23," - ")</f>
        <v>-0.13837430041972401</v>
      </c>
      <c r="J23" s="400">
        <f>IF(ISNUMBER((Tasas!D23-Datos!BF23)/Datos!BF23),(Tasas!D23-Datos!BF23)/Datos!BF23," - ")</f>
        <v>0.12061266985810278</v>
      </c>
      <c r="K23" s="403">
        <f>IF(ISNUMBER((Tasas!E23-Datos!BG23)/Datos!BG23),(Tasas!E23-Datos!BG23)/Datos!BG23," - ")</f>
        <v>-8.7349960575165114E-2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-0.16442211055276382</v>
      </c>
      <c r="E31" s="409">
        <f>IF(ISNUMBER(
   IF(J_V="SI",(Datos!J31-Datos!T31)/Datos!T31,(Datos!J31+Datos!Z31-(Datos!T31+Datos!AH31))/(Datos!T31+Datos!AH31))
     ),IF(J_V="SI",(Datos!J31-Datos!T31)/Datos!T31,(Datos!J31+Datos!Z31-(Datos!T31+Datos!AH31))/(Datos!T31+Datos!AH31))," - ")</f>
        <v>7.3398215733982156E-2</v>
      </c>
      <c r="F31" s="409">
        <f>IF(ISNUMBER(
   IF(J_V="SI",(Datos!K31-Datos!U31)/Datos!U31,(Datos!K31+Datos!AA31-(Datos!U31+Datos!AI31))/(Datos!U31+Datos!AI31))
     ),IF(J_V="SI",(Datos!K31-Datos!U31)/Datos!U31,(Datos!K31+Datos!AA31-(Datos!U31+Datos!AI31))/(Datos!U31+Datos!AI31))," - ")</f>
        <v>1.7438589911869491E-2</v>
      </c>
      <c r="G31" s="410">
        <f>IF(ISNUMBER(
   IF(J_V="SI",(Datos!L31-Datos!V31)/Datos!V31,(Datos!L31+Datos!AB31-(Datos!V31+Datos!AJ31))/(Datos!V31+Datos!AJ31))
     ),IF(J_V="SI",(Datos!L31-Datos!V31)/Datos!V31,(Datos!L31+Datos!AB31-(Datos!V31+Datos!AJ31))/(Datos!V31+Datos!AJ31))," - ")</f>
        <v>-2.541436464088398E-2</v>
      </c>
      <c r="H31" s="411">
        <f>IF(ISNUMBER((Datos!M31-Datos!W31)/Datos!W31),(Datos!M31-Datos!W31)/Datos!W31," - ")</f>
        <v>9.8280098280098278E-3</v>
      </c>
      <c r="I31" s="408">
        <f>IF(ISNUMBER((Tasas!C31-Datos!BE31)/Datos!BE31),(Tasas!C31-Datos!BE31)/Datos!BE31," - ")</f>
        <v>-4.2118467863957634E-2</v>
      </c>
      <c r="J31" s="409">
        <f>IF(ISNUMBER((Tasas!D31-Datos!BF31)/Datos!BF31),(Tasas!D31-Datos!BF31)/Datos!BF31," - ")</f>
        <v>-0.54406818936331136</v>
      </c>
      <c r="K31" s="410">
        <f>IF(ISNUMBER((Tasas!E31-Datos!BG31)/Datos!BG31),(Tasas!E31-Datos!BG31)/Datos!BG31," - ")</f>
        <v>-6.2378851665494714E-2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0.22251536145823711</v>
      </c>
      <c r="E33" s="303">
        <f t="shared" si="1"/>
        <v>2.7655150553242889E-2</v>
      </c>
      <c r="F33" s="303">
        <f t="shared" si="1"/>
        <v>0.13976014119021052</v>
      </c>
      <c r="G33" s="304">
        <f t="shared" si="1"/>
        <v>0.19684184440596422</v>
      </c>
      <c r="H33" s="310">
        <f t="shared" si="1"/>
        <v>0.28060303045990281</v>
      </c>
      <c r="I33" s="302">
        <f t="shared" si="1"/>
        <v>0.21158634240549115</v>
      </c>
      <c r="J33" s="303">
        <f t="shared" si="1"/>
        <v>0.3953316863196602</v>
      </c>
      <c r="K33" s="304">
        <f t="shared" si="1"/>
        <v>9.7950766230622349E-2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q81TxHbjtei5pENuUBmTkJFW8e0K9hewvwFFnMcBuVAeqydaSCCMBgyq4Y7Xs+eLOHK1dE7nEr9XJbScwrHCwA==" saltValue="9tCD2cUXtiSXYwcZkoVgQ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